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server2015\executive$\Desktop\"/>
    </mc:Choice>
  </mc:AlternateContent>
  <bookViews>
    <workbookView xWindow="120" yWindow="90" windowWidth="9435" windowHeight="4965" tabRatio="765"/>
  </bookViews>
  <sheets>
    <sheet name="Sales Forecast" sheetId="15" r:id="rId1"/>
    <sheet name="cashflow" sheetId="1" r:id="rId2"/>
    <sheet name="Use &amp; Source" sheetId="2" r:id="rId3"/>
    <sheet name="Advertising" sheetId="17" r:id="rId4"/>
    <sheet name="Owner's Drawings" sheetId="5" r:id="rId5"/>
    <sheet name="Loan Pymt Calc1" sheetId="6" r:id="rId6"/>
    <sheet name="Amor Schl 1" sheetId="7" r:id="rId7"/>
    <sheet name="Months" sheetId="12" r:id="rId8"/>
  </sheets>
  <externalReferences>
    <externalReference r:id="rId9"/>
    <externalReference r:id="rId10"/>
  </externalReferences>
  <definedNames>
    <definedName name="Months">Months!$A$1:$B$24</definedName>
    <definedName name="_xlnm.Print_Area" localSheetId="6">'Amor Schl 1'!$A$1:$I$56</definedName>
    <definedName name="_xlnm.Print_Area" localSheetId="1">cashflow!$A$1:$O$44</definedName>
    <definedName name="_xlnm.Print_Area" localSheetId="5">'Loan Pymt Calc1'!$A$1:$E$15</definedName>
    <definedName name="_xlnm.Print_Area" localSheetId="4">'Owner''s Drawings'!$A$1:$E$32</definedName>
    <definedName name="_xlnm.Print_Area" localSheetId="0">'Sales Forecast'!$A$1:$P$27</definedName>
    <definedName name="_xlnm.Print_Area" localSheetId="2">'Use &amp; Source'!$A$1:$D$35</definedName>
  </definedNames>
  <calcPr calcId="152511"/>
</workbook>
</file>

<file path=xl/calcChain.xml><?xml version="1.0" encoding="utf-8"?>
<calcChain xmlns="http://schemas.openxmlformats.org/spreadsheetml/2006/main">
  <c r="B4" i="6" l="1"/>
  <c r="E2" i="6"/>
  <c r="D2" i="6"/>
  <c r="B37" i="1" l="1"/>
  <c r="B36" i="1"/>
  <c r="B43" i="1"/>
  <c r="J42" i="1"/>
  <c r="L42" i="1"/>
  <c r="C42" i="1"/>
  <c r="D42" i="1"/>
  <c r="E42" i="1"/>
  <c r="F42" i="1"/>
  <c r="G42" i="1"/>
  <c r="H42" i="1"/>
  <c r="I42" i="1"/>
  <c r="K42" i="1"/>
  <c r="M42" i="1"/>
  <c r="B42" i="1"/>
  <c r="C34" i="2" l="1"/>
  <c r="C33" i="2"/>
  <c r="B34" i="1"/>
  <c r="C12" i="1"/>
  <c r="D12" i="1"/>
  <c r="E12" i="1"/>
  <c r="F12" i="1"/>
  <c r="G12" i="1"/>
  <c r="H12" i="1"/>
  <c r="I12" i="1"/>
  <c r="J12" i="1"/>
  <c r="K12" i="1"/>
  <c r="L12" i="1"/>
  <c r="M12" i="1"/>
  <c r="B12" i="1"/>
  <c r="N43" i="1" l="1"/>
  <c r="D26" i="2"/>
  <c r="B6" i="6"/>
  <c r="C4" i="7"/>
  <c r="G3" i="7"/>
  <c r="B28" i="1"/>
  <c r="B38" i="1" s="1"/>
  <c r="N36" i="1"/>
  <c r="C26" i="2"/>
  <c r="H27" i="1"/>
  <c r="G27" i="1"/>
  <c r="F27" i="1"/>
  <c r="E27" i="1"/>
  <c r="D27" i="1"/>
  <c r="C27" i="1"/>
  <c r="N27" i="1" s="1"/>
  <c r="B27" i="1"/>
  <c r="D4" i="15"/>
  <c r="E4" i="15"/>
  <c r="F4" i="15"/>
  <c r="G4" i="15"/>
  <c r="H4" i="15"/>
  <c r="H5" i="15"/>
  <c r="I4" i="15"/>
  <c r="J4" i="15"/>
  <c r="C35" i="2"/>
  <c r="D31" i="2" s="1"/>
  <c r="B17" i="5"/>
  <c r="B19" i="5" s="1"/>
  <c r="N39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D28" i="1"/>
  <c r="D38" i="1" s="1"/>
  <c r="N42" i="1"/>
  <c r="U16" i="1"/>
  <c r="B49" i="17"/>
  <c r="C49" i="17"/>
  <c r="D49" i="17"/>
  <c r="E49" i="17"/>
  <c r="F49" i="17"/>
  <c r="G49" i="17"/>
  <c r="H49" i="17"/>
  <c r="I49" i="17"/>
  <c r="J49" i="17"/>
  <c r="K49" i="17"/>
  <c r="L49" i="17"/>
  <c r="M49" i="17"/>
  <c r="D9" i="15"/>
  <c r="D10" i="15" s="1"/>
  <c r="D14" i="15"/>
  <c r="D15" i="15" s="1"/>
  <c r="D19" i="15"/>
  <c r="D20" i="15" s="1"/>
  <c r="D21" i="15" s="1"/>
  <c r="E9" i="15"/>
  <c r="E14" i="15"/>
  <c r="E15" i="15" s="1"/>
  <c r="E19" i="15"/>
  <c r="E20" i="15" s="1"/>
  <c r="F9" i="15"/>
  <c r="F10" i="15" s="1"/>
  <c r="F11" i="15" s="1"/>
  <c r="F14" i="15"/>
  <c r="F15" i="15" s="1"/>
  <c r="F19" i="15"/>
  <c r="F20" i="15" s="1"/>
  <c r="G9" i="15"/>
  <c r="G10" i="15" s="1"/>
  <c r="G14" i="15"/>
  <c r="G15" i="15" s="1"/>
  <c r="G19" i="15"/>
  <c r="G20" i="15" s="1"/>
  <c r="G21" i="15" s="1"/>
  <c r="H9" i="15"/>
  <c r="H10" i="15" s="1"/>
  <c r="H14" i="15"/>
  <c r="H15" i="15" s="1"/>
  <c r="H19" i="15"/>
  <c r="H20" i="15" s="1"/>
  <c r="I9" i="15"/>
  <c r="I10" i="15" s="1"/>
  <c r="I11" i="15" s="1"/>
  <c r="I14" i="15"/>
  <c r="I15" i="15" s="1"/>
  <c r="I16" i="15" s="1"/>
  <c r="I19" i="15"/>
  <c r="I20" i="15" s="1"/>
  <c r="I21" i="15" s="1"/>
  <c r="J9" i="15"/>
  <c r="J10" i="15" s="1"/>
  <c r="J14" i="15"/>
  <c r="J15" i="15" s="1"/>
  <c r="J19" i="15"/>
  <c r="J20" i="15" s="1"/>
  <c r="K4" i="15"/>
  <c r="K9" i="15"/>
  <c r="K10" i="15" s="1"/>
  <c r="K11" i="15" s="1"/>
  <c r="K14" i="15"/>
  <c r="K15" i="15" s="1"/>
  <c r="K19" i="15"/>
  <c r="L4" i="15"/>
  <c r="L9" i="15"/>
  <c r="L10" i="15" s="1"/>
  <c r="L14" i="15"/>
  <c r="L15" i="15" s="1"/>
  <c r="L19" i="15"/>
  <c r="L20" i="15" s="1"/>
  <c r="M4" i="15"/>
  <c r="M5" i="15" s="1"/>
  <c r="M9" i="15"/>
  <c r="M14" i="15"/>
  <c r="M15" i="15" s="1"/>
  <c r="M16" i="15" s="1"/>
  <c r="M19" i="15"/>
  <c r="M20" i="15" s="1"/>
  <c r="N4" i="15"/>
  <c r="N9" i="15"/>
  <c r="N10" i="15" s="1"/>
  <c r="N14" i="15"/>
  <c r="N15" i="15" s="1"/>
  <c r="N19" i="15"/>
  <c r="N20" i="15" s="1"/>
  <c r="O4" i="15"/>
  <c r="O9" i="15"/>
  <c r="O10" i="15" s="1"/>
  <c r="O11" i="15" s="1"/>
  <c r="O14" i="15"/>
  <c r="O15" i="15" s="1"/>
  <c r="O16" i="15" s="1"/>
  <c r="O19" i="15"/>
  <c r="O20" i="15" s="1"/>
  <c r="O21" i="15" s="1"/>
  <c r="N45" i="17"/>
  <c r="N32" i="17"/>
  <c r="N33" i="17"/>
  <c r="N34" i="17"/>
  <c r="N35" i="17"/>
  <c r="N36" i="17"/>
  <c r="N26" i="17"/>
  <c r="N27" i="17"/>
  <c r="N20" i="17"/>
  <c r="N21" i="17"/>
  <c r="N22" i="17"/>
  <c r="N15" i="17"/>
  <c r="N9" i="17"/>
  <c r="N10" i="17"/>
  <c r="N11" i="17"/>
  <c r="N8" i="17"/>
  <c r="N44" i="17"/>
  <c r="N38" i="17"/>
  <c r="N39" i="17"/>
  <c r="N40" i="17"/>
  <c r="N41" i="17"/>
  <c r="N42" i="17"/>
  <c r="N43" i="17"/>
  <c r="N31" i="17"/>
  <c r="N16" i="17"/>
  <c r="N6" i="17"/>
  <c r="N25" i="17"/>
  <c r="N29" i="17"/>
  <c r="N7" i="17"/>
  <c r="N13" i="17"/>
  <c r="N14" i="17"/>
  <c r="N17" i="17"/>
  <c r="N18" i="17"/>
  <c r="N19" i="17"/>
  <c r="N23" i="17"/>
  <c r="N47" i="17"/>
  <c r="N48" i="17"/>
  <c r="N49" i="17"/>
  <c r="B4" i="1"/>
  <c r="B4" i="17" s="1"/>
  <c r="M4" i="1"/>
  <c r="M4" i="17" s="1"/>
  <c r="L4" i="1"/>
  <c r="L4" i="17" s="1"/>
  <c r="K4" i="1"/>
  <c r="K4" i="17" s="1"/>
  <c r="J4" i="1"/>
  <c r="J4" i="17" s="1"/>
  <c r="I4" i="1"/>
  <c r="I4" i="17" s="1"/>
  <c r="H4" i="1"/>
  <c r="G4" i="1"/>
  <c r="G4" i="17" s="1"/>
  <c r="F4" i="1"/>
  <c r="F4" i="17" s="1"/>
  <c r="E4" i="1"/>
  <c r="E4" i="17" s="1"/>
  <c r="D4" i="1"/>
  <c r="D4" i="17" s="1"/>
  <c r="C4" i="1"/>
  <c r="C4" i="17" s="1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C33" i="1"/>
  <c r="E33" i="1"/>
  <c r="F33" i="1"/>
  <c r="I33" i="1"/>
  <c r="K33" i="1"/>
  <c r="B33" i="1"/>
  <c r="M11" i="1"/>
  <c r="L11" i="1"/>
  <c r="K11" i="1"/>
  <c r="J11" i="1"/>
  <c r="I11" i="1"/>
  <c r="H11" i="1"/>
  <c r="G11" i="1"/>
  <c r="F11" i="1"/>
  <c r="E11" i="1"/>
  <c r="D11" i="1"/>
  <c r="C11" i="1"/>
  <c r="B11" i="1"/>
  <c r="H21" i="15"/>
  <c r="L21" i="15"/>
  <c r="M21" i="15"/>
  <c r="D16" i="15"/>
  <c r="E16" i="15"/>
  <c r="L16" i="15"/>
  <c r="D11" i="15"/>
  <c r="G11" i="15"/>
  <c r="H11" i="15"/>
  <c r="L11" i="15"/>
  <c r="N11" i="15"/>
  <c r="P8" i="15"/>
  <c r="P13" i="15"/>
  <c r="P18" i="15"/>
  <c r="P3" i="15"/>
  <c r="P2" i="15"/>
  <c r="M2" i="15"/>
  <c r="N2" i="15"/>
  <c r="L2" i="15"/>
  <c r="D2" i="15"/>
  <c r="E2" i="15"/>
  <c r="H2" i="15"/>
  <c r="I2" i="15"/>
  <c r="J2" i="15"/>
  <c r="K2" i="15"/>
  <c r="B2" i="15"/>
  <c r="D30" i="2"/>
  <c r="D33" i="2"/>
  <c r="D29" i="2"/>
  <c r="K16" i="15" l="1"/>
  <c r="J16" i="15"/>
  <c r="H26" i="15"/>
  <c r="F8" i="1" s="1"/>
  <c r="H25" i="15"/>
  <c r="F5" i="1" s="1"/>
  <c r="F25" i="15"/>
  <c r="D5" i="1" s="1"/>
  <c r="N5" i="15"/>
  <c r="N25" i="15"/>
  <c r="L5" i="1" s="1"/>
  <c r="J5" i="15"/>
  <c r="J26" i="15" s="1"/>
  <c r="H8" i="1" s="1"/>
  <c r="J25" i="15"/>
  <c r="H5" i="1" s="1"/>
  <c r="L5" i="15"/>
  <c r="L25" i="15"/>
  <c r="J5" i="1" s="1"/>
  <c r="I5" i="15"/>
  <c r="I26" i="15" s="1"/>
  <c r="G8" i="1" s="1"/>
  <c r="I25" i="15"/>
  <c r="G5" i="1" s="1"/>
  <c r="O5" i="15"/>
  <c r="O26" i="15" s="1"/>
  <c r="M8" i="1" s="1"/>
  <c r="O25" i="15"/>
  <c r="M5" i="1" s="1"/>
  <c r="G5" i="15"/>
  <c r="G26" i="15" s="1"/>
  <c r="E8" i="1" s="1"/>
  <c r="G25" i="15"/>
  <c r="E5" i="1" s="1"/>
  <c r="M6" i="15"/>
  <c r="M25" i="15"/>
  <c r="K5" i="1" s="1"/>
  <c r="K5" i="15"/>
  <c r="K25" i="15"/>
  <c r="I5" i="1" s="1"/>
  <c r="E5" i="15"/>
  <c r="E26" i="15" s="1"/>
  <c r="C8" i="1" s="1"/>
  <c r="E25" i="15"/>
  <c r="C5" i="1" s="1"/>
  <c r="D5" i="15"/>
  <c r="D26" i="15" s="1"/>
  <c r="B8" i="1" s="1"/>
  <c r="D25" i="15"/>
  <c r="B5" i="1" s="1"/>
  <c r="D34" i="2"/>
  <c r="J33" i="1"/>
  <c r="O2" i="15"/>
  <c r="G2" i="15"/>
  <c r="D33" i="1"/>
  <c r="G28" i="1"/>
  <c r="G38" i="1" s="1"/>
  <c r="F2" i="15"/>
  <c r="M33" i="1"/>
  <c r="E28" i="1"/>
  <c r="L33" i="1"/>
  <c r="E21" i="15"/>
  <c r="P15" i="15"/>
  <c r="N21" i="15"/>
  <c r="E6" i="15"/>
  <c r="P9" i="15"/>
  <c r="M10" i="15"/>
  <c r="M11" i="15" s="1"/>
  <c r="K20" i="15"/>
  <c r="P20" i="15" s="1"/>
  <c r="E10" i="15"/>
  <c r="I6" i="15"/>
  <c r="P19" i="15"/>
  <c r="F21" i="15"/>
  <c r="O6" i="15"/>
  <c r="H16" i="15"/>
  <c r="G6" i="15"/>
  <c r="P14" i="15"/>
  <c r="G16" i="15"/>
  <c r="P4" i="15"/>
  <c r="J11" i="15"/>
  <c r="N16" i="15"/>
  <c r="F16" i="15"/>
  <c r="J21" i="15"/>
  <c r="D35" i="2"/>
  <c r="H4" i="17"/>
  <c r="H33" i="1"/>
  <c r="E38" i="1"/>
  <c r="G33" i="1"/>
  <c r="F5" i="15"/>
  <c r="F26" i="15" s="1"/>
  <c r="D8" i="1" s="1"/>
  <c r="J6" i="15"/>
  <c r="B12" i="6"/>
  <c r="B13" i="6"/>
  <c r="B8" i="6"/>
  <c r="J28" i="1"/>
  <c r="J38" i="1" s="1"/>
  <c r="C28" i="1"/>
  <c r="C38" i="1" s="1"/>
  <c r="I28" i="1"/>
  <c r="I38" i="1" s="1"/>
  <c r="H28" i="1"/>
  <c r="H38" i="1" s="1"/>
  <c r="K28" i="1"/>
  <c r="F28" i="1"/>
  <c r="F38" i="1" s="1"/>
  <c r="H6" i="15"/>
  <c r="F9" i="1" s="1"/>
  <c r="L28" i="1"/>
  <c r="N37" i="1"/>
  <c r="M28" i="1"/>
  <c r="D6" i="15"/>
  <c r="B14" i="6"/>
  <c r="E14" i="6" s="1"/>
  <c r="R19" i="1"/>
  <c r="M9" i="1" l="1"/>
  <c r="H9" i="1"/>
  <c r="E9" i="1"/>
  <c r="C9" i="1"/>
  <c r="M26" i="15"/>
  <c r="K8" i="1" s="1"/>
  <c r="P10" i="15"/>
  <c r="G9" i="1"/>
  <c r="K9" i="1"/>
  <c r="L26" i="15"/>
  <c r="J8" i="1" s="1"/>
  <c r="L6" i="15"/>
  <c r="N5" i="1"/>
  <c r="K6" i="15"/>
  <c r="K26" i="15"/>
  <c r="I8" i="1" s="1"/>
  <c r="N26" i="15"/>
  <c r="L8" i="1" s="1"/>
  <c r="N6" i="15"/>
  <c r="P25" i="15"/>
  <c r="E11" i="15"/>
  <c r="P11" i="15" s="1"/>
  <c r="K21" i="15"/>
  <c r="P21" i="15" s="1"/>
  <c r="P16" i="15"/>
  <c r="K38" i="1"/>
  <c r="P5" i="15"/>
  <c r="C3" i="7"/>
  <c r="E12" i="6"/>
  <c r="F6" i="15"/>
  <c r="D9" i="1" s="1"/>
  <c r="B31" i="1"/>
  <c r="M38" i="1"/>
  <c r="L38" i="1"/>
  <c r="B15" i="6"/>
  <c r="L9" i="1" l="1"/>
  <c r="P26" i="15"/>
  <c r="I9" i="1"/>
  <c r="J9" i="1"/>
  <c r="N8" i="1"/>
  <c r="O8" i="1" s="1"/>
  <c r="N6" i="1"/>
  <c r="B9" i="1"/>
  <c r="B35" i="1" s="1"/>
  <c r="N38" i="1"/>
  <c r="G4" i="7"/>
  <c r="E11" i="6"/>
  <c r="E13" i="6" s="1"/>
  <c r="E15" i="6" s="1"/>
  <c r="F10" i="7"/>
  <c r="E10" i="7"/>
  <c r="P6" i="15"/>
  <c r="N9" i="1" l="1"/>
  <c r="O27" i="1" s="1"/>
  <c r="O28" i="1"/>
  <c r="O22" i="1"/>
  <c r="O14" i="1"/>
  <c r="O24" i="1"/>
  <c r="O12" i="1"/>
  <c r="O23" i="1"/>
  <c r="O19" i="1"/>
  <c r="O25" i="1"/>
  <c r="O18" i="1"/>
  <c r="O26" i="1"/>
  <c r="O16" i="1"/>
  <c r="O15" i="1"/>
  <c r="O20" i="1"/>
  <c r="O21" i="1"/>
  <c r="C11" i="7"/>
  <c r="C19" i="7"/>
  <c r="C21" i="7"/>
  <c r="C29" i="7"/>
  <c r="C37" i="7"/>
  <c r="C45" i="7"/>
  <c r="C18" i="7"/>
  <c r="C26" i="7"/>
  <c r="C34" i="7"/>
  <c r="C42" i="7"/>
  <c r="C17" i="7"/>
  <c r="C23" i="7"/>
  <c r="C31" i="7"/>
  <c r="C39" i="7"/>
  <c r="C12" i="7"/>
  <c r="C20" i="7"/>
  <c r="C24" i="7"/>
  <c r="C32" i="7"/>
  <c r="C40" i="7"/>
  <c r="C15" i="7"/>
  <c r="C27" i="7"/>
  <c r="C35" i="7"/>
  <c r="C48" i="7"/>
  <c r="C56" i="7"/>
  <c r="C58" i="7"/>
  <c r="C64" i="7"/>
  <c r="C14" i="7"/>
  <c r="C28" i="7"/>
  <c r="C36" i="7"/>
  <c r="C13" i="7"/>
  <c r="C25" i="7"/>
  <c r="C10" i="7"/>
  <c r="D10" i="7" s="1"/>
  <c r="C22" i="7"/>
  <c r="C43" i="7"/>
  <c r="C46" i="7"/>
  <c r="C52" i="7"/>
  <c r="C60" i="7"/>
  <c r="C68" i="7"/>
  <c r="C33" i="7"/>
  <c r="C41" i="7"/>
  <c r="C16" i="7"/>
  <c r="C30" i="7"/>
  <c r="C38" i="7"/>
  <c r="C44" i="7"/>
  <c r="C54" i="7"/>
  <c r="C69" i="7"/>
  <c r="C50" i="7"/>
  <c r="C65" i="7"/>
  <c r="C67" i="7"/>
  <c r="C57" i="7"/>
  <c r="C59" i="7"/>
  <c r="C49" i="7"/>
  <c r="C66" i="7"/>
  <c r="C53" i="7"/>
  <c r="C63" i="7"/>
  <c r="C47" i="7"/>
  <c r="C61" i="7"/>
  <c r="C51" i="7"/>
  <c r="C62" i="7"/>
  <c r="C55" i="7"/>
  <c r="B44" i="1"/>
  <c r="C34" i="1" s="1"/>
  <c r="O17" i="1" l="1"/>
  <c r="O13" i="1"/>
  <c r="G10" i="7"/>
  <c r="E11" i="7" l="1"/>
  <c r="F11" i="7"/>
  <c r="C29" i="1" l="1"/>
  <c r="D11" i="7"/>
  <c r="C40" i="1" l="1"/>
  <c r="G11" i="7"/>
  <c r="C31" i="1"/>
  <c r="C35" i="1" s="1"/>
  <c r="C44" i="1" l="1"/>
  <c r="D34" i="1" s="1"/>
  <c r="E12" i="7"/>
  <c r="F12" i="7"/>
  <c r="D29" i="1" l="1"/>
  <c r="D12" i="7"/>
  <c r="D40" i="1" l="1"/>
  <c r="G12" i="7"/>
  <c r="D31" i="1"/>
  <c r="D35" i="1" s="1"/>
  <c r="D44" i="1" l="1"/>
  <c r="E34" i="1" s="1"/>
  <c r="F13" i="7"/>
  <c r="E13" i="7"/>
  <c r="E29" i="1" l="1"/>
  <c r="D13" i="7"/>
  <c r="E40" i="1" l="1"/>
  <c r="G13" i="7"/>
  <c r="E31" i="1"/>
  <c r="E35" i="1" s="1"/>
  <c r="F14" i="7" l="1"/>
  <c r="E14" i="7"/>
  <c r="E44" i="1"/>
  <c r="F34" i="1" s="1"/>
  <c r="F29" i="1" l="1"/>
  <c r="D14" i="7"/>
  <c r="F31" i="1" l="1"/>
  <c r="F35" i="1" s="1"/>
  <c r="F40" i="1"/>
  <c r="G14" i="7"/>
  <c r="F44" i="1" l="1"/>
  <c r="G34" i="1" s="1"/>
  <c r="F15" i="7"/>
  <c r="E15" i="7"/>
  <c r="G29" i="1" l="1"/>
  <c r="D15" i="7"/>
  <c r="G31" i="1" l="1"/>
  <c r="G35" i="1" s="1"/>
  <c r="G40" i="1"/>
  <c r="G15" i="7"/>
  <c r="G44" i="1" l="1"/>
  <c r="H34" i="1" s="1"/>
  <c r="F16" i="7"/>
  <c r="E16" i="7"/>
  <c r="H29" i="1" l="1"/>
  <c r="H31" i="1" s="1"/>
  <c r="H35" i="1" s="1"/>
  <c r="D16" i="7"/>
  <c r="H40" i="1" l="1"/>
  <c r="G16" i="7"/>
  <c r="H44" i="1"/>
  <c r="I34" i="1" s="1"/>
  <c r="F17" i="7" l="1"/>
  <c r="E17" i="7"/>
  <c r="I29" i="1" l="1"/>
  <c r="I31" i="1" s="1"/>
  <c r="I35" i="1" s="1"/>
  <c r="D17" i="7"/>
  <c r="I40" i="1" l="1"/>
  <c r="G17" i="7"/>
  <c r="I44" i="1"/>
  <c r="J34" i="1" s="1"/>
  <c r="E18" i="7" l="1"/>
  <c r="F18" i="7"/>
  <c r="J29" i="1" l="1"/>
  <c r="J31" i="1" s="1"/>
  <c r="J35" i="1" s="1"/>
  <c r="D18" i="7"/>
  <c r="J40" i="1" l="1"/>
  <c r="J44" i="1" s="1"/>
  <c r="K34" i="1" s="1"/>
  <c r="G18" i="7"/>
  <c r="E19" i="7" l="1"/>
  <c r="F19" i="7"/>
  <c r="K29" i="1" l="1"/>
  <c r="K31" i="1" s="1"/>
  <c r="K35" i="1" s="1"/>
  <c r="D19" i="7"/>
  <c r="K40" i="1" l="1"/>
  <c r="K44" i="1" s="1"/>
  <c r="L34" i="1" s="1"/>
  <c r="G19" i="7"/>
  <c r="F20" i="7" l="1"/>
  <c r="E20" i="7"/>
  <c r="L29" i="1" l="1"/>
  <c r="L31" i="1" s="1"/>
  <c r="L35" i="1" s="1"/>
  <c r="D20" i="7"/>
  <c r="L40" i="1" l="1"/>
  <c r="L44" i="1" s="1"/>
  <c r="M34" i="1" s="1"/>
  <c r="G20" i="7"/>
  <c r="F21" i="7" l="1"/>
  <c r="J21" i="7" s="1"/>
  <c r="E21" i="7"/>
  <c r="M29" i="1" l="1"/>
  <c r="D21" i="7"/>
  <c r="I21" i="7"/>
  <c r="K21" i="7" s="1"/>
  <c r="M40" i="1" l="1"/>
  <c r="N40" i="1" s="1"/>
  <c r="H21" i="7"/>
  <c r="G21" i="7"/>
  <c r="M31" i="1"/>
  <c r="M35" i="1" s="1"/>
  <c r="N29" i="1"/>
  <c r="N35" i="1" l="1"/>
  <c r="M44" i="1"/>
  <c r="F22" i="7"/>
  <c r="E22" i="7"/>
  <c r="O29" i="1"/>
  <c r="N31" i="1"/>
  <c r="O31" i="1" s="1"/>
  <c r="D22" i="7" l="1"/>
  <c r="G22" i="7" l="1"/>
  <c r="E23" i="7" l="1"/>
  <c r="F23" i="7"/>
  <c r="D23" i="7" l="1"/>
  <c r="G23" i="7" l="1"/>
  <c r="F24" i="7" l="1"/>
  <c r="E24" i="7"/>
  <c r="D24" i="7" l="1"/>
  <c r="G24" i="7" l="1"/>
  <c r="F25" i="7" l="1"/>
  <c r="E25" i="7"/>
  <c r="D25" i="7" l="1"/>
  <c r="G25" i="7" l="1"/>
  <c r="F26" i="7" l="1"/>
  <c r="E26" i="7"/>
  <c r="D26" i="7" l="1"/>
  <c r="G26" i="7" l="1"/>
  <c r="F27" i="7" l="1"/>
  <c r="E27" i="7"/>
  <c r="D27" i="7" s="1"/>
  <c r="G27" i="7" l="1"/>
  <c r="E28" i="7" l="1"/>
  <c r="D28" i="7" s="1"/>
  <c r="F28" i="7"/>
  <c r="G28" i="7" l="1"/>
  <c r="F29" i="7" l="1"/>
  <c r="E29" i="7"/>
  <c r="D29" i="7" s="1"/>
  <c r="G29" i="7" l="1"/>
  <c r="F30" i="7" l="1"/>
  <c r="E30" i="7"/>
  <c r="D30" i="7" s="1"/>
  <c r="G30" i="7" l="1"/>
  <c r="E31" i="7" l="1"/>
  <c r="D31" i="7" s="1"/>
  <c r="F31" i="7"/>
  <c r="G31" i="7" l="1"/>
  <c r="F32" i="7" l="1"/>
  <c r="E32" i="7"/>
  <c r="D32" i="7" s="1"/>
  <c r="G32" i="7" l="1"/>
  <c r="F33" i="7" l="1"/>
  <c r="J33" i="7" s="1"/>
  <c r="E33" i="7"/>
  <c r="D33" i="7" l="1"/>
  <c r="I33" i="7"/>
  <c r="K33" i="7" s="1"/>
  <c r="H33" i="7" l="1"/>
  <c r="G33" i="7"/>
  <c r="F34" i="7" l="1"/>
  <c r="E34" i="7"/>
  <c r="D34" i="7" l="1"/>
  <c r="G34" i="7" l="1"/>
  <c r="F35" i="7" l="1"/>
  <c r="E35" i="7"/>
  <c r="D35" i="7" l="1"/>
  <c r="G35" i="7" l="1"/>
  <c r="E36" i="7" l="1"/>
  <c r="F36" i="7"/>
  <c r="D36" i="7" l="1"/>
  <c r="G36" i="7" l="1"/>
  <c r="F37" i="7" l="1"/>
  <c r="E37" i="7"/>
  <c r="D37" i="7" l="1"/>
  <c r="G37" i="7" l="1"/>
  <c r="F38" i="7" l="1"/>
  <c r="E38" i="7"/>
  <c r="D38" i="7" l="1"/>
  <c r="G38" i="7" l="1"/>
  <c r="E39" i="7" l="1"/>
  <c r="D39" i="7" s="1"/>
  <c r="F39" i="7"/>
  <c r="G39" i="7" l="1"/>
  <c r="F40" i="7" l="1"/>
  <c r="E40" i="7"/>
  <c r="D40" i="7" s="1"/>
  <c r="G40" i="7" l="1"/>
  <c r="F41" i="7" l="1"/>
  <c r="E41" i="7"/>
  <c r="D41" i="7" l="1"/>
  <c r="G41" i="7" l="1"/>
  <c r="E42" i="7" l="1"/>
  <c r="D42" i="7" s="1"/>
  <c r="F42" i="7"/>
  <c r="G42" i="7" l="1"/>
  <c r="F43" i="7" l="1"/>
  <c r="E43" i="7"/>
  <c r="D43" i="7" s="1"/>
  <c r="G43" i="7" l="1"/>
  <c r="F44" i="7" l="1"/>
  <c r="E44" i="7"/>
  <c r="D44" i="7" s="1"/>
  <c r="G44" i="7" l="1"/>
  <c r="F45" i="7" l="1"/>
  <c r="J45" i="7" s="1"/>
  <c r="E45" i="7"/>
  <c r="D45" i="7" l="1"/>
  <c r="I45" i="7"/>
  <c r="K45" i="7" s="1"/>
  <c r="H45" i="7" l="1"/>
  <c r="G45" i="7"/>
  <c r="E46" i="7" l="1"/>
  <c r="F46" i="7"/>
  <c r="D46" i="7" l="1"/>
  <c r="G46" i="7" l="1"/>
  <c r="E47" i="7" l="1"/>
  <c r="F47" i="7"/>
  <c r="D47" i="7" l="1"/>
  <c r="G47" i="7" l="1"/>
  <c r="E48" i="7" l="1"/>
  <c r="F48" i="7"/>
  <c r="D48" i="7" l="1"/>
  <c r="G48" i="7" l="1"/>
  <c r="F49" i="7" l="1"/>
  <c r="E49" i="7"/>
  <c r="D49" i="7" l="1"/>
  <c r="G49" i="7" l="1"/>
  <c r="E50" i="7" l="1"/>
  <c r="F50" i="7"/>
  <c r="D50" i="7" l="1"/>
  <c r="G50" i="7" l="1"/>
  <c r="E51" i="7" l="1"/>
  <c r="D51" i="7" s="1"/>
  <c r="G51" i="7" s="1"/>
  <c r="F51" i="7"/>
  <c r="F52" i="7" l="1"/>
  <c r="E52" i="7"/>
  <c r="D52" i="7" s="1"/>
  <c r="G52" i="7" s="1"/>
  <c r="F53" i="7" l="1"/>
  <c r="E53" i="7"/>
  <c r="D53" i="7" s="1"/>
  <c r="G53" i="7" s="1"/>
  <c r="E54" i="7" l="1"/>
  <c r="D54" i="7" s="1"/>
  <c r="G54" i="7" s="1"/>
  <c r="F54" i="7"/>
  <c r="F55" i="7" l="1"/>
  <c r="E55" i="7"/>
  <c r="D55" i="7" s="1"/>
  <c r="G55" i="7" s="1"/>
  <c r="E56" i="7" l="1"/>
  <c r="D56" i="7" s="1"/>
  <c r="G56" i="7" s="1"/>
  <c r="F56" i="7"/>
  <c r="F57" i="7" l="1"/>
  <c r="J57" i="7" s="1"/>
  <c r="E57" i="7"/>
  <c r="D57" i="7" l="1"/>
  <c r="I57" i="7"/>
  <c r="K57" i="7" s="1"/>
  <c r="H57" i="7" l="1"/>
  <c r="G57" i="7"/>
  <c r="E58" i="7" l="1"/>
  <c r="F58" i="7"/>
  <c r="D58" i="7" l="1"/>
  <c r="G58" i="7" l="1"/>
  <c r="E59" i="7" l="1"/>
  <c r="F59" i="7"/>
  <c r="D59" i="7" l="1"/>
  <c r="G59" i="7" l="1"/>
  <c r="E60" i="7" l="1"/>
  <c r="F60" i="7"/>
  <c r="D60" i="7" l="1"/>
  <c r="G60" i="7" l="1"/>
  <c r="F61" i="7" l="1"/>
  <c r="E61" i="7"/>
  <c r="D61" i="7" l="1"/>
  <c r="G61" i="7" l="1"/>
  <c r="E62" i="7" l="1"/>
  <c r="F62" i="7"/>
  <c r="D62" i="7" l="1"/>
  <c r="G62" i="7" l="1"/>
  <c r="E63" i="7" l="1"/>
  <c r="D63" i="7" s="1"/>
  <c r="G63" i="7" s="1"/>
  <c r="F63" i="7"/>
  <c r="E64" i="7" l="1"/>
  <c r="D64" i="7" s="1"/>
  <c r="G64" i="7" s="1"/>
  <c r="F64" i="7"/>
  <c r="F65" i="7" l="1"/>
  <c r="E65" i="7"/>
  <c r="D65" i="7" s="1"/>
  <c r="G65" i="7" s="1"/>
  <c r="E66" i="7" l="1"/>
  <c r="D66" i="7" s="1"/>
  <c r="G66" i="7" s="1"/>
  <c r="F66" i="7"/>
  <c r="F67" i="7" l="1"/>
  <c r="E67" i="7"/>
  <c r="D67" i="7" s="1"/>
  <c r="G67" i="7" s="1"/>
  <c r="E68" i="7" l="1"/>
  <c r="D68" i="7" s="1"/>
  <c r="G68" i="7" s="1"/>
  <c r="F68" i="7"/>
  <c r="F69" i="7" l="1"/>
  <c r="J69" i="7" s="1"/>
  <c r="E69" i="7"/>
  <c r="D69" i="7" l="1"/>
  <c r="I69" i="7"/>
  <c r="K69" i="7" s="1"/>
  <c r="H69" i="7" l="1"/>
  <c r="G69" i="7"/>
  <c r="E70" i="7" l="1"/>
  <c r="D70" i="7"/>
  <c r="G70" i="7" s="1"/>
  <c r="F70" i="7"/>
  <c r="C70" i="7" l="1"/>
</calcChain>
</file>

<file path=xl/sharedStrings.xml><?xml version="1.0" encoding="utf-8"?>
<sst xmlns="http://schemas.openxmlformats.org/spreadsheetml/2006/main" count="221" uniqueCount="178">
  <si>
    <t>CASH  FLOW  FORECAST</t>
  </si>
  <si>
    <t>Month started =</t>
  </si>
  <si>
    <t>(1 = January, 12 = December)</t>
  </si>
  <si>
    <t>Sales</t>
  </si>
  <si>
    <t>TOTAL</t>
  </si>
  <si>
    <t>Cash In</t>
  </si>
  <si>
    <t>Total Cash In</t>
  </si>
  <si>
    <t>Cash Out</t>
  </si>
  <si>
    <t>Owner's Drawings</t>
  </si>
  <si>
    <t>Insurance</t>
  </si>
  <si>
    <t>Other</t>
  </si>
  <si>
    <t>Total Cash Out</t>
  </si>
  <si>
    <t>Net Cash</t>
  </si>
  <si>
    <t>Starting Cash Balance</t>
  </si>
  <si>
    <t>Ending Balance</t>
  </si>
  <si>
    <t>Advertising</t>
  </si>
  <si>
    <t>Principal</t>
  </si>
  <si>
    <t>Interest</t>
  </si>
  <si>
    <t>Use &amp; Source of Funds</t>
  </si>
  <si>
    <t>Use of Funds</t>
  </si>
  <si>
    <t>Source of Funds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</si>
  <si>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</si>
  <si>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</si>
  <si>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</si>
  <si>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</si>
  <si>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</si>
  <si>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</si>
  <si>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</si>
  <si>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</si>
  <si>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</si>
  <si>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</si>
  <si>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</si>
  <si>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</si>
  <si>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Loan Payment Calculator</t>
  </si>
  <si>
    <t>Principals</t>
  </si>
  <si>
    <t>Loan amount</t>
  </si>
  <si>
    <t>Est. legals</t>
  </si>
  <si>
    <t>Proc fee</t>
  </si>
  <si>
    <t>Mtg broker</t>
  </si>
  <si>
    <t>Total loan</t>
  </si>
  <si>
    <t>Term (mo.)</t>
  </si>
  <si>
    <t>Estimated interest costs</t>
  </si>
  <si>
    <t>Total pymts</t>
  </si>
  <si>
    <t>Int. &amp; Life Insur</t>
  </si>
  <si>
    <t>Life insurance</t>
  </si>
  <si>
    <t>Payment</t>
  </si>
  <si>
    <t>Interest (est.)</t>
  </si>
  <si>
    <t>Amortization Schedule</t>
  </si>
  <si>
    <t>Loan amount =</t>
  </si>
  <si>
    <t>Amortization (months)</t>
  </si>
  <si>
    <t>Interest rate =</t>
  </si>
  <si>
    <t>Payment amount =</t>
  </si>
  <si>
    <t>Day</t>
  </si>
  <si>
    <t>Month</t>
  </si>
  <si>
    <t>Year</t>
  </si>
  <si>
    <t>Date of 1st pymt =</t>
  </si>
  <si>
    <t>Pymt #</t>
  </si>
  <si>
    <t>Date</t>
  </si>
  <si>
    <t>Life Insur</t>
  </si>
  <si>
    <t>Balance</t>
  </si>
  <si>
    <t>Final payment =</t>
  </si>
  <si>
    <t>Loan 1 Interest</t>
  </si>
  <si>
    <t>Add Loan Proceeds</t>
  </si>
  <si>
    <t>Less Owner's Drawings</t>
  </si>
  <si>
    <t>Add Depreciation</t>
  </si>
  <si>
    <t>Less Capital Purchases</t>
  </si>
  <si>
    <t>Total Monthly Expenses</t>
  </si>
  <si>
    <t>Less: Other Household Income</t>
  </si>
  <si>
    <t>Minimum Monthly Owner's Drawings</t>
  </si>
  <si>
    <t>Yearly Expenses</t>
  </si>
  <si>
    <t>Monthly Expenses</t>
  </si>
  <si>
    <t>House Insurance</t>
  </si>
  <si>
    <t>Vehicle Insurance</t>
  </si>
  <si>
    <t>Life Insurance</t>
  </si>
  <si>
    <t>Property, Water/Sewer Taxes</t>
  </si>
  <si>
    <t>Month Due?</t>
  </si>
  <si>
    <t>$ Have</t>
  </si>
  <si>
    <t>$ Need</t>
  </si>
  <si>
    <t>Total Use of Funds</t>
  </si>
  <si>
    <t>Total Source of Funds</t>
  </si>
  <si>
    <t xml:space="preserve"> </t>
  </si>
  <si>
    <t>COGS</t>
  </si>
  <si>
    <t xml:space="preserve">Depreciation </t>
  </si>
  <si>
    <t>Operating Capital</t>
  </si>
  <si>
    <t>Total Sales</t>
  </si>
  <si>
    <t>MARKETING FORECAST</t>
  </si>
  <si>
    <t>Months</t>
  </si>
  <si>
    <t>Total</t>
  </si>
  <si>
    <t>MEDIA</t>
  </si>
  <si>
    <t>PRINT</t>
  </si>
  <si>
    <t>PROMOTIONAL ITEMS</t>
  </si>
  <si>
    <t>SIGNAGE</t>
  </si>
  <si>
    <t>Cash</t>
  </si>
  <si>
    <t>Assets</t>
  </si>
  <si>
    <t xml:space="preserve">revenue </t>
  </si>
  <si>
    <t>Total Cost of Goods Sold</t>
  </si>
  <si>
    <t>Product/Price/Cost</t>
  </si>
  <si>
    <t>Shaw Televisual</t>
  </si>
  <si>
    <t>Coupons/Pak</t>
  </si>
  <si>
    <t>Fridge magnets</t>
  </si>
  <si>
    <t>Pens</t>
  </si>
  <si>
    <t>Banner</t>
  </si>
  <si>
    <t>OTHER</t>
  </si>
  <si>
    <t>Advertisement/Marketing</t>
  </si>
  <si>
    <t>Auto Expense/Repairs</t>
  </si>
  <si>
    <t>Bank Charges and Fees</t>
  </si>
  <si>
    <t>BC Gas</t>
  </si>
  <si>
    <t>Delivery</t>
  </si>
  <si>
    <t>Fuel Expense</t>
  </si>
  <si>
    <t>Hydro</t>
  </si>
  <si>
    <t>Interest Payable</t>
  </si>
  <si>
    <t>License and Fees</t>
  </si>
  <si>
    <t>Office Expenses/Supplies</t>
  </si>
  <si>
    <t>Phone</t>
  </si>
  <si>
    <t>Rent/Lease</t>
  </si>
  <si>
    <t>Salaries and Wage Expenses (net)</t>
  </si>
  <si>
    <t>%</t>
  </si>
  <si>
    <t>Rent or Mortgage</t>
  </si>
  <si>
    <t>Food</t>
  </si>
  <si>
    <t>Telephone</t>
  </si>
  <si>
    <t>Vehicle Expense</t>
  </si>
  <si>
    <t>Clothing</t>
  </si>
  <si>
    <t>Medical Expense (including BC Medical)</t>
  </si>
  <si>
    <t>Personal Income Taxes</t>
  </si>
  <si>
    <t>Club / Organization Fees</t>
  </si>
  <si>
    <t>Cost of Goods Sold</t>
  </si>
  <si>
    <t>Less Loan Principle Payment 1</t>
  </si>
  <si>
    <t>Office</t>
  </si>
  <si>
    <t>Vehicle</t>
  </si>
  <si>
    <t>Radio</t>
  </si>
  <si>
    <t>TV</t>
  </si>
  <si>
    <t>Citizen</t>
  </si>
  <si>
    <t>PG This Week</t>
  </si>
  <si>
    <t>Free Press</t>
  </si>
  <si>
    <t>Yellow Pages</t>
  </si>
  <si>
    <t>Buy &amp; Sell</t>
  </si>
  <si>
    <t>Magazines</t>
  </si>
  <si>
    <t>Flyers</t>
  </si>
  <si>
    <t>Welcome Wagon</t>
  </si>
  <si>
    <t>Business Cards</t>
  </si>
  <si>
    <t>Internet</t>
  </si>
  <si>
    <t>Trade Shows</t>
  </si>
  <si>
    <t>Sponosorship</t>
  </si>
  <si>
    <t>Charitable Donations</t>
  </si>
  <si>
    <t>Networking</t>
  </si>
  <si>
    <t>Gifts / Preferred Customers</t>
  </si>
  <si>
    <t>Chamber of Commerce</t>
  </si>
  <si>
    <t>Rotary</t>
  </si>
  <si>
    <t>5 Years</t>
  </si>
  <si>
    <t>Entertainment / Recreation</t>
  </si>
  <si>
    <t>Inventory</t>
  </si>
  <si>
    <t>Tools</t>
  </si>
  <si>
    <t>Cash in less cash out</t>
  </si>
  <si>
    <t xml:space="preserve"> Projected Sales Forecast</t>
  </si>
  <si>
    <t>Personal Investment:</t>
  </si>
  <si>
    <t>8+1to3</t>
  </si>
  <si>
    <t xml:space="preserve">Capital: </t>
  </si>
  <si>
    <t>Add SEB</t>
  </si>
  <si>
    <t>Bank</t>
  </si>
  <si>
    <t>Add grant proceeds</t>
  </si>
  <si>
    <t>Marketing</t>
  </si>
  <si>
    <t>Equipment Maintenance</t>
  </si>
  <si>
    <t>once a year in July</t>
  </si>
  <si>
    <r>
      <t xml:space="preserve">Equipment </t>
    </r>
    <r>
      <rPr>
        <b/>
        <sz val="10"/>
        <rFont val="Arial"/>
        <family val="2"/>
      </rPr>
      <t>(See attached list)</t>
    </r>
  </si>
  <si>
    <t>Product/Service 1</t>
  </si>
  <si>
    <t>Other Revenue</t>
  </si>
  <si>
    <t>Accounting / Legal</t>
  </si>
  <si>
    <t>Trailer</t>
  </si>
  <si>
    <t>Grant programs</t>
  </si>
  <si>
    <t>Lending Programs</t>
  </si>
  <si>
    <t>Gas</t>
  </si>
  <si>
    <t>Internet/TV</t>
  </si>
  <si>
    <t>Insurance - Life/House</t>
  </si>
  <si>
    <t>once a year in May</t>
  </si>
  <si>
    <t>Product/Service 2</t>
  </si>
  <si>
    <t>Product/Service 3</t>
  </si>
  <si>
    <t>Product/Service 4</t>
  </si>
  <si>
    <t xml:space="preserve">The shaded areas are for data input.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</si>
</sst>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$&quot;* #,##0_-;\-&quot;$&quot;* #,##0_-;_-&quot;$&quot;* &quot;-&quot;_-;_-@_-"/>
    <numFmt numFmtId="170" formatCode="_(&quot;$&quot;* #,##0.00_);_(&quot;$&quot;* \(#,##0.00\);_(&quot;$&quot;* &quot;-&quot;??_);_(@_)"/>
    <numFmt numFmtId="173" formatCode="General_)"/>
    <numFmt numFmtId="174" formatCode="0.0%"/>
    <numFmt numFmtId="175" formatCode="&quot;$&quot;#,##0;[Red]\(&quot;$&quot;#,##0\)"/>
    <numFmt numFmtId="176" formatCode="&quot;$&quot;#,##0.00;[Red]\(&quot;$&quot;#,##0.00\)"/>
    <numFmt numFmtId="177" formatCode="mmm\-dd\-yyyy"/>
    <numFmt numFmtId="185" formatCode="0_);[Red]\(0\)"/>
    <numFmt numFmtId="186" formatCode="0_ ;[Red]\-0\ "/>
    <numFmt numFmtId="192" formatCode="_(&quot;$&quot;* #,##0_);_(&quot;$&quot;* \(#,##0\);_(&quot;$&quot;* &quot;-&quot;??_);_(@_)"/>
  </numFmts>
  <fonts count="35" x14ac:knownFonts="1">
    <font>
      <sz val="10"/>
      <name val="MS Sans Serif"/>
      <family val="2"/>
    </font>
    <font>
      <b/>
      <sz val="10"/>
      <name val="MS Sans Serif"/>
    </font>
    <font>
      <sz val="10"/>
      <name val="MS Sans Serif"/>
    </font>
    <font>
      <b/>
      <sz val="18"/>
      <name val="Times New Roman"/>
      <family val="1"/>
    </font>
    <font>
      <sz val="9"/>
      <name val="MS Sans Serif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MS Sans Serif"/>
      <family val="2"/>
    </font>
    <font>
      <sz val="10"/>
      <name val="MS Sans Serif"/>
      <family val="2"/>
    </font>
    <font>
      <b/>
      <sz val="14"/>
      <name val="Times New Roman"/>
    </font>
    <font>
      <sz val="8.5"/>
      <name val="MS Sans Serif"/>
      <family val="2"/>
    </font>
    <font>
      <b/>
      <sz val="9"/>
      <name val="Times New Roman"/>
    </font>
    <font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6"/>
      <name val="MS Sans Serif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i/>
      <sz val="10"/>
      <name val="MS Sans Serif"/>
      <family val="2"/>
    </font>
    <font>
      <sz val="18"/>
      <name val="MS Sans Serif"/>
      <family val="2"/>
    </font>
    <font>
      <sz val="14"/>
      <color indexed="10"/>
      <name val="Times New Roman"/>
      <family val="1"/>
    </font>
    <font>
      <b/>
      <sz val="18"/>
      <name val="Arial"/>
      <family val="2"/>
    </font>
    <font>
      <sz val="11"/>
      <name val="MS Sans Serif"/>
      <family val="2"/>
    </font>
    <font>
      <sz val="14"/>
      <color indexed="48"/>
      <name val="Arial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175" fontId="0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5">
    <xf numFmtId="175" fontId="0" fillId="0" borderId="0" xfId="0"/>
    <xf numFmtId="175" fontId="6" fillId="0" borderId="0" xfId="0" applyFont="1" applyBorder="1"/>
    <xf numFmtId="175" fontId="4" fillId="0" borderId="0" xfId="0" applyFont="1"/>
    <xf numFmtId="9" fontId="0" fillId="0" borderId="0" xfId="2" applyFont="1"/>
    <xf numFmtId="175" fontId="4" fillId="0" borderId="0" xfId="0" applyFont="1" applyBorder="1"/>
    <xf numFmtId="9" fontId="9" fillId="0" borderId="0" xfId="2" applyFont="1" applyAlignment="1">
      <alignment horizontal="centerContinuous"/>
    </xf>
    <xf numFmtId="175" fontId="9" fillId="0" borderId="0" xfId="0" applyFont="1"/>
    <xf numFmtId="175" fontId="10" fillId="0" borderId="0" xfId="0" applyFont="1"/>
    <xf numFmtId="175" fontId="10" fillId="0" borderId="0" xfId="0" applyFont="1" applyAlignment="1">
      <alignment horizontal="centerContinuous"/>
    </xf>
    <xf numFmtId="175" fontId="11" fillId="0" borderId="0" xfId="0" applyFont="1" applyAlignment="1">
      <alignment horizontal="centerContinuous"/>
    </xf>
    <xf numFmtId="175" fontId="3" fillId="0" borderId="0" xfId="0" applyFont="1" applyAlignment="1">
      <alignment horizontal="centerContinuous"/>
    </xf>
    <xf numFmtId="175" fontId="12" fillId="0" borderId="0" xfId="0" applyFont="1" applyBorder="1"/>
    <xf numFmtId="175" fontId="13" fillId="0" borderId="0" xfId="0" applyFont="1" applyFill="1" applyBorder="1"/>
    <xf numFmtId="175" fontId="0" fillId="0" borderId="0" xfId="0" applyAlignment="1">
      <alignment horizontal="center"/>
    </xf>
    <xf numFmtId="175" fontId="0" fillId="0" borderId="2" xfId="0" applyBorder="1"/>
    <xf numFmtId="175" fontId="0" fillId="0" borderId="3" xfId="0" applyBorder="1"/>
    <xf numFmtId="0" fontId="0" fillId="0" borderId="0" xfId="0" applyNumberFormat="1"/>
    <xf numFmtId="175" fontId="0" fillId="0" borderId="4" xfId="0" applyBorder="1"/>
    <xf numFmtId="176" fontId="0" fillId="0" borderId="5" xfId="0" applyNumberFormat="1" applyBorder="1"/>
    <xf numFmtId="176" fontId="0" fillId="0" borderId="0" xfId="0" applyNumberFormat="1"/>
    <xf numFmtId="176" fontId="0" fillId="0" borderId="4" xfId="0" applyNumberFormat="1" applyBorder="1"/>
    <xf numFmtId="175" fontId="5" fillId="0" borderId="0" xfId="0" applyFont="1"/>
    <xf numFmtId="175" fontId="5" fillId="0" borderId="6" xfId="0" applyFont="1" applyBorder="1"/>
    <xf numFmtId="176" fontId="7" fillId="0" borderId="7" xfId="0" applyNumberFormat="1" applyFont="1" applyBorder="1"/>
    <xf numFmtId="177" fontId="0" fillId="0" borderId="0" xfId="0" applyNumberFormat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5" fontId="0" fillId="0" borderId="0" xfId="0" applyAlignment="1">
      <alignment horizontal="center" textRotation="90"/>
    </xf>
    <xf numFmtId="176" fontId="0" fillId="0" borderId="0" xfId="0" applyNumberFormat="1" applyBorder="1"/>
    <xf numFmtId="175" fontId="14" fillId="0" borderId="0" xfId="0" applyFont="1"/>
    <xf numFmtId="175" fontId="16" fillId="0" borderId="0" xfId="0" applyFont="1"/>
    <xf numFmtId="175" fontId="17" fillId="0" borderId="0" xfId="0" applyFont="1"/>
    <xf numFmtId="175" fontId="18" fillId="0" borderId="0" xfId="0" applyFont="1"/>
    <xf numFmtId="175" fontId="19" fillId="0" borderId="0" xfId="0" applyFont="1"/>
    <xf numFmtId="175" fontId="0" fillId="0" borderId="0" xfId="0" applyAlignment="1"/>
    <xf numFmtId="175" fontId="21" fillId="0" borderId="0" xfId="0" applyFont="1" applyAlignment="1"/>
    <xf numFmtId="175" fontId="20" fillId="0" borderId="0" xfId="0" applyFont="1" applyAlignment="1">
      <alignment horizontal="centerContinuous" vertical="center"/>
    </xf>
    <xf numFmtId="175" fontId="21" fillId="0" borderId="0" xfId="0" applyFont="1" applyAlignment="1">
      <alignment horizontal="centerContinuous" vertical="center"/>
    </xf>
    <xf numFmtId="175" fontId="16" fillId="0" borderId="0" xfId="0" applyFont="1" applyAlignment="1"/>
    <xf numFmtId="9" fontId="14" fillId="0" borderId="0" xfId="2" applyFont="1"/>
    <xf numFmtId="175" fontId="22" fillId="0" borderId="0" xfId="0" applyFont="1" applyAlignment="1" applyProtection="1">
      <alignment horizontal="left"/>
    </xf>
    <xf numFmtId="173" fontId="23" fillId="0" borderId="0" xfId="0" applyNumberFormat="1" applyFont="1" applyAlignment="1" applyProtection="1">
      <alignment horizontal="center"/>
      <protection locked="0"/>
    </xf>
    <xf numFmtId="173" fontId="22" fillId="0" borderId="0" xfId="0" applyNumberFormat="1" applyFont="1" applyAlignment="1" applyProtection="1">
      <alignment horizontal="center"/>
    </xf>
    <xf numFmtId="9" fontId="17" fillId="0" borderId="0" xfId="2" applyFont="1"/>
    <xf numFmtId="175" fontId="22" fillId="0" borderId="0" xfId="0" applyFont="1" applyBorder="1" applyAlignment="1" applyProtection="1">
      <alignment horizontal="left"/>
    </xf>
    <xf numFmtId="175" fontId="14" fillId="0" borderId="0" xfId="0" applyFont="1" applyAlignment="1">
      <alignment horizontal="centerContinuous"/>
    </xf>
    <xf numFmtId="175" fontId="24" fillId="0" borderId="0" xfId="0" applyFont="1" applyAlignment="1">
      <alignment horizontal="centerContinuous"/>
    </xf>
    <xf numFmtId="175" fontId="14" fillId="0" borderId="0" xfId="0" applyFont="1" applyAlignment="1">
      <alignment horizontal="center"/>
    </xf>
    <xf numFmtId="174" fontId="14" fillId="0" borderId="0" xfId="2" applyNumberFormat="1" applyFont="1"/>
    <xf numFmtId="175" fontId="14" fillId="0" borderId="1" xfId="0" applyFont="1" applyBorder="1"/>
    <xf numFmtId="175" fontId="24" fillId="0" borderId="1" xfId="0" applyFont="1" applyBorder="1"/>
    <xf numFmtId="175" fontId="24" fillId="0" borderId="8" xfId="0" applyFont="1" applyBorder="1"/>
    <xf numFmtId="175" fontId="24" fillId="0" borderId="3" xfId="0" applyFont="1" applyBorder="1"/>
    <xf numFmtId="175" fontId="14" fillId="0" borderId="9" xfId="0" applyFont="1" applyBorder="1"/>
    <xf numFmtId="175" fontId="24" fillId="0" borderId="0" xfId="0" applyFont="1" applyBorder="1"/>
    <xf numFmtId="175" fontId="24" fillId="0" borderId="10" xfId="0" applyFont="1" applyBorder="1"/>
    <xf numFmtId="10" fontId="14" fillId="0" borderId="0" xfId="2" applyNumberFormat="1" applyFont="1"/>
    <xf numFmtId="185" fontId="14" fillId="0" borderId="1" xfId="0" applyNumberFormat="1" applyFont="1" applyBorder="1"/>
    <xf numFmtId="175" fontId="0" fillId="0" borderId="1" xfId="0" applyBorder="1"/>
    <xf numFmtId="175" fontId="24" fillId="0" borderId="0" xfId="0" applyFont="1"/>
    <xf numFmtId="186" fontId="0" fillId="0" borderId="0" xfId="0" applyNumberFormat="1"/>
    <xf numFmtId="175" fontId="22" fillId="0" borderId="0" xfId="0" applyFont="1"/>
    <xf numFmtId="175" fontId="26" fillId="0" borderId="0" xfId="0" applyFont="1"/>
    <xf numFmtId="175" fontId="27" fillId="0" borderId="0" xfId="0" applyFont="1"/>
    <xf numFmtId="175" fontId="0" fillId="0" borderId="0" xfId="0" applyBorder="1"/>
    <xf numFmtId="174" fontId="14" fillId="0" borderId="12" xfId="2" applyNumberFormat="1" applyFont="1" applyBorder="1"/>
    <xf numFmtId="186" fontId="14" fillId="0" borderId="1" xfId="0" applyNumberFormat="1" applyFont="1" applyBorder="1"/>
    <xf numFmtId="175" fontId="8" fillId="0" borderId="0" xfId="0" applyFont="1" applyAlignment="1" applyProtection="1">
      <alignment horizontal="centerContinuous"/>
    </xf>
    <xf numFmtId="175" fontId="9" fillId="0" borderId="0" xfId="0" applyFont="1" applyAlignment="1">
      <alignment horizontal="centerContinuous"/>
    </xf>
    <xf numFmtId="175" fontId="27" fillId="0" borderId="0" xfId="0" quotePrefix="1" applyFont="1"/>
    <xf numFmtId="175" fontId="14" fillId="0" borderId="1" xfId="0" applyFont="1" applyBorder="1" applyAlignment="1" applyProtection="1">
      <alignment horizontal="left"/>
    </xf>
    <xf numFmtId="175" fontId="14" fillId="0" borderId="13" xfId="0" applyFont="1" applyBorder="1" applyAlignment="1" applyProtection="1">
      <alignment horizontal="left"/>
    </xf>
    <xf numFmtId="186" fontId="14" fillId="0" borderId="13" xfId="0" applyNumberFormat="1" applyFont="1" applyBorder="1"/>
    <xf numFmtId="175" fontId="7" fillId="0" borderId="14" xfId="0" applyFont="1" applyBorder="1" applyAlignment="1" applyProtection="1">
      <alignment horizontal="left"/>
    </xf>
    <xf numFmtId="174" fontId="30" fillId="0" borderId="0" xfId="2" applyNumberFormat="1" applyFont="1"/>
    <xf numFmtId="175" fontId="30" fillId="0" borderId="0" xfId="0" applyFont="1"/>
    <xf numFmtId="175" fontId="14" fillId="0" borderId="0" xfId="0" applyFont="1" applyBorder="1"/>
    <xf numFmtId="185" fontId="14" fillId="0" borderId="13" xfId="0" applyNumberFormat="1" applyFont="1" applyBorder="1"/>
    <xf numFmtId="175" fontId="18" fillId="0" borderId="14" xfId="0" applyFont="1" applyBorder="1" applyAlignment="1" applyProtection="1">
      <alignment horizontal="left"/>
    </xf>
    <xf numFmtId="175" fontId="16" fillId="0" borderId="14" xfId="0" applyFont="1" applyBorder="1"/>
    <xf numFmtId="10" fontId="16" fillId="0" borderId="0" xfId="2" applyNumberFormat="1" applyFont="1"/>
    <xf numFmtId="175" fontId="1" fillId="2" borderId="7" xfId="0" applyNumberFormat="1" applyFont="1" applyFill="1" applyBorder="1"/>
    <xf numFmtId="175" fontId="0" fillId="0" borderId="0" xfId="0" applyNumberFormat="1" applyBorder="1"/>
    <xf numFmtId="175" fontId="31" fillId="0" borderId="0" xfId="0" applyFont="1" applyAlignment="1">
      <alignment horizontal="center"/>
    </xf>
    <xf numFmtId="175" fontId="17" fillId="0" borderId="0" xfId="0" applyFont="1" applyAlignment="1">
      <alignment horizontal="center"/>
    </xf>
    <xf numFmtId="175" fontId="17" fillId="0" borderId="1" xfId="0" applyFont="1" applyBorder="1"/>
    <xf numFmtId="1" fontId="17" fillId="0" borderId="1" xfId="0" applyNumberFormat="1" applyFont="1" applyBorder="1"/>
    <xf numFmtId="176" fontId="17" fillId="0" borderId="1" xfId="0" applyNumberFormat="1" applyFont="1" applyBorder="1"/>
    <xf numFmtId="4" fontId="17" fillId="0" borderId="16" xfId="0" applyNumberFormat="1" applyFont="1" applyBorder="1"/>
    <xf numFmtId="4" fontId="9" fillId="0" borderId="17" xfId="0" applyNumberFormat="1" applyFont="1" applyBorder="1"/>
    <xf numFmtId="175" fontId="22" fillId="0" borderId="1" xfId="0" applyFont="1" applyBorder="1"/>
    <xf numFmtId="175" fontId="17" fillId="0" borderId="13" xfId="0" applyFont="1" applyBorder="1"/>
    <xf numFmtId="175" fontId="32" fillId="0" borderId="0" xfId="0" applyFont="1"/>
    <xf numFmtId="176" fontId="9" fillId="0" borderId="0" xfId="0" applyNumberFormat="1" applyFont="1"/>
    <xf numFmtId="10" fontId="9" fillId="0" borderId="0" xfId="2" applyNumberFormat="1" applyFont="1"/>
    <xf numFmtId="1" fontId="32" fillId="0" borderId="0" xfId="0" applyNumberFormat="1" applyFont="1"/>
    <xf numFmtId="0" fontId="6" fillId="0" borderId="0" xfId="0" applyNumberFormat="1" applyFont="1" applyAlignment="1">
      <alignment horizontal="center"/>
    </xf>
    <xf numFmtId="175" fontId="33" fillId="0" borderId="0" xfId="0" applyFont="1" applyAlignment="1">
      <alignment horizontal="center"/>
    </xf>
    <xf numFmtId="42" fontId="0" fillId="0" borderId="1" xfId="0" applyNumberFormat="1" applyBorder="1"/>
    <xf numFmtId="186" fontId="0" fillId="0" borderId="0" xfId="0" applyNumberFormat="1" applyBorder="1"/>
    <xf numFmtId="175" fontId="33" fillId="0" borderId="0" xfId="0" applyFont="1" applyBorder="1" applyAlignment="1">
      <alignment horizontal="center"/>
    </xf>
    <xf numFmtId="175" fontId="25" fillId="0" borderId="1" xfId="0" applyFont="1" applyBorder="1" applyAlignment="1">
      <alignment horizontal="left"/>
    </xf>
    <xf numFmtId="175" fontId="25" fillId="0" borderId="4" xfId="0" applyFont="1" applyBorder="1" applyAlignment="1">
      <alignment horizontal="left"/>
    </xf>
    <xf numFmtId="175" fontId="0" fillId="0" borderId="13" xfId="0" applyBorder="1"/>
    <xf numFmtId="42" fontId="9" fillId="0" borderId="0" xfId="0" applyNumberFormat="1" applyFont="1"/>
    <xf numFmtId="42" fontId="16" fillId="0" borderId="18" xfId="0" applyNumberFormat="1" applyFont="1" applyBorder="1"/>
    <xf numFmtId="42" fontId="16" fillId="0" borderId="12" xfId="0" applyNumberFormat="1" applyFont="1" applyBorder="1"/>
    <xf numFmtId="42" fontId="14" fillId="0" borderId="1" xfId="0" applyNumberFormat="1" applyFont="1" applyBorder="1"/>
    <xf numFmtId="42" fontId="24" fillId="0" borderId="15" xfId="0" applyNumberFormat="1" applyFont="1" applyBorder="1"/>
    <xf numFmtId="42" fontId="30" fillId="0" borderId="14" xfId="0" applyNumberFormat="1" applyFont="1" applyBorder="1"/>
    <xf numFmtId="175" fontId="34" fillId="0" borderId="1" xfId="0" applyFont="1" applyBorder="1" applyAlignment="1" applyProtection="1">
      <alignment horizontal="left"/>
    </xf>
    <xf numFmtId="175" fontId="34" fillId="0" borderId="13" xfId="0" applyFont="1" applyBorder="1" applyAlignment="1" applyProtection="1">
      <alignment horizontal="left"/>
    </xf>
    <xf numFmtId="175" fontId="17" fillId="0" borderId="16" xfId="0" applyFont="1" applyBorder="1"/>
    <xf numFmtId="175" fontId="22" fillId="0" borderId="13" xfId="0" applyFont="1" applyBorder="1"/>
    <xf numFmtId="9" fontId="17" fillId="0" borderId="16" xfId="2" applyFont="1" applyBorder="1"/>
    <xf numFmtId="175" fontId="22" fillId="0" borderId="0" xfId="0" applyFont="1" applyAlignment="1">
      <alignment horizontal="center"/>
    </xf>
    <xf numFmtId="9" fontId="17" fillId="0" borderId="9" xfId="2" applyFont="1" applyBorder="1"/>
    <xf numFmtId="4" fontId="9" fillId="0" borderId="16" xfId="0" applyNumberFormat="1" applyFont="1" applyBorder="1"/>
    <xf numFmtId="42" fontId="14" fillId="0" borderId="13" xfId="0" applyNumberFormat="1" applyFont="1" applyBorder="1"/>
    <xf numFmtId="170" fontId="14" fillId="0" borderId="1" xfId="1" applyFont="1" applyBorder="1"/>
    <xf numFmtId="175" fontId="32" fillId="0" borderId="0" xfId="0" applyFont="1" applyAlignment="1">
      <alignment horizontal="center"/>
    </xf>
    <xf numFmtId="175" fontId="29" fillId="0" borderId="0" xfId="0" applyFont="1" applyAlignment="1" applyProtection="1">
      <alignment horizontal="center"/>
    </xf>
    <xf numFmtId="175" fontId="0" fillId="0" borderId="0" xfId="0" applyAlignment="1">
      <alignment horizontal="center"/>
    </xf>
    <xf numFmtId="175" fontId="18" fillId="0" borderId="0" xfId="0" applyFont="1" applyAlignment="1">
      <alignment horizontal="center"/>
    </xf>
    <xf numFmtId="175" fontId="15" fillId="0" borderId="0" xfId="0" applyFont="1" applyAlignment="1">
      <alignment horizontal="center" vertical="center"/>
    </xf>
    <xf numFmtId="175" fontId="0" fillId="0" borderId="0" xfId="0" applyAlignment="1">
      <alignment horizontal="center" vertical="center"/>
    </xf>
    <xf numFmtId="175" fontId="20" fillId="0" borderId="0" xfId="0" applyFont="1" applyAlignment="1">
      <alignment horizontal="center" vertical="center"/>
    </xf>
    <xf numFmtId="175" fontId="8" fillId="0" borderId="3" xfId="0" applyFont="1" applyBorder="1" applyAlignment="1"/>
    <xf numFmtId="175" fontId="0" fillId="0" borderId="3" xfId="0" applyBorder="1" applyAlignment="1"/>
    <xf numFmtId="175" fontId="11" fillId="0" borderId="3" xfId="0" applyFont="1" applyBorder="1" applyAlignment="1"/>
    <xf numFmtId="175" fontId="1" fillId="2" borderId="6" xfId="0" applyFont="1" applyFill="1" applyBorder="1" applyAlignment="1"/>
    <xf numFmtId="175" fontId="0" fillId="0" borderId="20" xfId="0" applyBorder="1" applyAlignment="1"/>
    <xf numFmtId="175" fontId="0" fillId="0" borderId="0" xfId="0" applyAlignment="1"/>
    <xf numFmtId="1" fontId="17" fillId="3" borderId="1" xfId="0" applyNumberFormat="1" applyFont="1" applyFill="1" applyBorder="1"/>
    <xf numFmtId="176" fontId="17" fillId="3" borderId="1" xfId="0" applyNumberFormat="1" applyFont="1" applyFill="1" applyBorder="1"/>
    <xf numFmtId="9" fontId="17" fillId="3" borderId="16" xfId="2" applyFont="1" applyFill="1" applyBorder="1"/>
    <xf numFmtId="175" fontId="17" fillId="3" borderId="1" xfId="0" applyFont="1" applyFill="1" applyBorder="1"/>
    <xf numFmtId="9" fontId="17" fillId="3" borderId="9" xfId="2" applyFont="1" applyFill="1" applyBorder="1"/>
    <xf numFmtId="42" fontId="14" fillId="3" borderId="13" xfId="0" applyNumberFormat="1" applyFont="1" applyFill="1" applyBorder="1"/>
    <xf numFmtId="185" fontId="14" fillId="3" borderId="1" xfId="0" applyNumberFormat="1" applyFont="1" applyFill="1" applyBorder="1"/>
    <xf numFmtId="42" fontId="14" fillId="3" borderId="1" xfId="0" applyNumberFormat="1" applyFont="1" applyFill="1" applyBorder="1"/>
    <xf numFmtId="0" fontId="28" fillId="3" borderId="0" xfId="0" applyNumberFormat="1" applyFont="1" applyFill="1"/>
    <xf numFmtId="170" fontId="14" fillId="3" borderId="1" xfId="1" applyFont="1" applyFill="1" applyBorder="1"/>
    <xf numFmtId="42" fontId="14" fillId="3" borderId="9" xfId="0" applyNumberFormat="1" applyFont="1" applyFill="1" applyBorder="1"/>
    <xf numFmtId="192" fontId="14" fillId="3" borderId="9" xfId="1" applyNumberFormat="1" applyFont="1" applyFill="1" applyBorder="1"/>
    <xf numFmtId="42" fontId="0" fillId="3" borderId="1" xfId="0" applyNumberFormat="1" applyFill="1" applyBorder="1"/>
    <xf numFmtId="186" fontId="0" fillId="3" borderId="1" xfId="0" applyNumberFormat="1" applyFill="1" applyBorder="1"/>
    <xf numFmtId="42" fontId="0" fillId="3" borderId="9" xfId="0" applyNumberFormat="1" applyFill="1" applyBorder="1"/>
    <xf numFmtId="186" fontId="0" fillId="3" borderId="2" xfId="0" applyNumberFormat="1" applyFill="1" applyBorder="1"/>
    <xf numFmtId="186" fontId="0" fillId="3" borderId="13" xfId="0" applyNumberFormat="1" applyFill="1" applyBorder="1"/>
    <xf numFmtId="175" fontId="16" fillId="3" borderId="0" xfId="0" applyFont="1" applyFill="1"/>
    <xf numFmtId="42" fontId="16" fillId="3" borderId="11" xfId="0" applyNumberFormat="1" applyFont="1" applyFill="1" applyBorder="1"/>
    <xf numFmtId="42" fontId="16" fillId="3" borderId="2" xfId="0" applyNumberFormat="1" applyFont="1" applyFill="1" applyBorder="1"/>
    <xf numFmtId="42" fontId="16" fillId="3" borderId="19" xfId="0" applyNumberFormat="1" applyFont="1" applyFill="1" applyBorder="1"/>
    <xf numFmtId="175" fontId="16" fillId="3" borderId="11" xfId="0" applyFont="1" applyFill="1" applyBorder="1"/>
    <xf numFmtId="175" fontId="16" fillId="3" borderId="2" xfId="0" applyFont="1" applyFill="1" applyBorder="1"/>
    <xf numFmtId="175" fontId="9" fillId="3" borderId="0" xfId="0" applyFont="1" applyFill="1"/>
    <xf numFmtId="10" fontId="0" fillId="3" borderId="0" xfId="0" applyNumberFormat="1" applyFill="1"/>
    <xf numFmtId="0" fontId="0" fillId="3" borderId="0" xfId="0" applyNumberFormat="1" applyFill="1"/>
    <xf numFmtId="176" fontId="0" fillId="3" borderId="0" xfId="0" applyNumberFormat="1" applyFill="1"/>
    <xf numFmtId="0" fontId="0" fillId="3" borderId="0" xfId="0" applyNumberFormat="1" applyFill="1" applyAlignment="1">
      <alignment horizontal="center"/>
    </xf>
    <xf numFmtId="175" fontId="0" fillId="3" borderId="0" xfId="0" applyFill="1"/>
    <xf numFmtId="175" fontId="14" fillId="3" borderId="0" xfId="0" applyFont="1" applyFill="1"/>
    <xf numFmtId="175" fontId="4" fillId="3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udora\attach\breakeven\BREAKE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3"/>
    </sheetNames>
    <sheetDataSet>
      <sheetData sheetId="0">
        <row r="15">
          <cell r="E15" t="str">
            <v>Cost</v>
          </cell>
          <cell r="F15" t="str">
            <v>Revenue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100</v>
          </cell>
          <cell r="E17">
            <v>0</v>
          </cell>
          <cell r="F17">
            <v>0</v>
          </cell>
        </row>
        <row r="18">
          <cell r="D18">
            <v>200</v>
          </cell>
          <cell r="E18">
            <v>0</v>
          </cell>
          <cell r="F18">
            <v>0</v>
          </cell>
        </row>
        <row r="19">
          <cell r="D19">
            <v>300</v>
          </cell>
          <cell r="E19">
            <v>0</v>
          </cell>
          <cell r="F19">
            <v>0</v>
          </cell>
        </row>
        <row r="20">
          <cell r="D20">
            <v>400</v>
          </cell>
          <cell r="E20">
            <v>0</v>
          </cell>
          <cell r="F20">
            <v>0</v>
          </cell>
        </row>
        <row r="21">
          <cell r="D21">
            <v>500</v>
          </cell>
          <cell r="E21">
            <v>0</v>
          </cell>
          <cell r="F21">
            <v>0</v>
          </cell>
        </row>
        <row r="22">
          <cell r="D22">
            <v>600</v>
          </cell>
          <cell r="E22">
            <v>0</v>
          </cell>
          <cell r="F22">
            <v>0</v>
          </cell>
        </row>
        <row r="23">
          <cell r="D23">
            <v>700</v>
          </cell>
          <cell r="E23">
            <v>0</v>
          </cell>
          <cell r="F23">
            <v>0</v>
          </cell>
        </row>
        <row r="24">
          <cell r="D24">
            <v>800</v>
          </cell>
          <cell r="E24">
            <v>0</v>
          </cell>
          <cell r="F24">
            <v>0</v>
          </cell>
        </row>
        <row r="25">
          <cell r="D25">
            <v>900</v>
          </cell>
          <cell r="E25">
            <v>0</v>
          </cell>
          <cell r="F25">
            <v>0</v>
          </cell>
        </row>
        <row r="26">
          <cell r="D26">
            <v>1000</v>
          </cell>
          <cell r="E26">
            <v>0</v>
          </cell>
          <cell r="F26">
            <v>0</v>
          </cell>
        </row>
        <row r="27">
          <cell r="D27">
            <v>1100</v>
          </cell>
          <cell r="E27">
            <v>0</v>
          </cell>
          <cell r="F27">
            <v>0</v>
          </cell>
        </row>
        <row r="28">
          <cell r="D28">
            <v>1200</v>
          </cell>
          <cell r="E28">
            <v>0</v>
          </cell>
          <cell r="F28">
            <v>0</v>
          </cell>
        </row>
        <row r="29">
          <cell r="D29">
            <v>1300</v>
          </cell>
          <cell r="E29">
            <v>0</v>
          </cell>
          <cell r="F29">
            <v>0</v>
          </cell>
        </row>
        <row r="30">
          <cell r="D30">
            <v>1400</v>
          </cell>
          <cell r="E30">
            <v>0</v>
          </cell>
          <cell r="F30">
            <v>0</v>
          </cell>
        </row>
        <row r="31">
          <cell r="D31">
            <v>1500</v>
          </cell>
          <cell r="E31">
            <v>0</v>
          </cell>
          <cell r="F31">
            <v>0</v>
          </cell>
        </row>
        <row r="32">
          <cell r="D32">
            <v>1600</v>
          </cell>
          <cell r="E32">
            <v>0</v>
          </cell>
          <cell r="F32">
            <v>0</v>
          </cell>
        </row>
        <row r="33">
          <cell r="D33">
            <v>1700</v>
          </cell>
          <cell r="E33">
            <v>0</v>
          </cell>
          <cell r="F33">
            <v>0</v>
          </cell>
        </row>
        <row r="34">
          <cell r="D34">
            <v>1800</v>
          </cell>
          <cell r="E34">
            <v>0</v>
          </cell>
          <cell r="F34">
            <v>0</v>
          </cell>
        </row>
        <row r="35">
          <cell r="D35">
            <v>1900</v>
          </cell>
          <cell r="E35">
            <v>0</v>
          </cell>
          <cell r="F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EV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86" zoomScaleNormal="86" zoomScaleSheetLayoutView="25" workbookViewId="0">
      <selection activeCell="A27" sqref="A27"/>
    </sheetView>
  </sheetViews>
  <sheetFormatPr defaultRowHeight="19.5" x14ac:dyDescent="0.35"/>
  <cols>
    <col min="1" max="1" width="35.28515625" style="6" bestFit="1" customWidth="1"/>
    <col min="2" max="2" width="11.7109375" style="6" bestFit="1" customWidth="1"/>
    <col min="3" max="3" width="6.85546875" style="6" bestFit="1" customWidth="1"/>
    <col min="4" max="16" width="12.7109375" style="6" customWidth="1"/>
    <col min="17" max="16384" width="9.140625" style="6"/>
  </cols>
  <sheetData>
    <row r="1" spans="1:16" x14ac:dyDescent="0.35">
      <c r="A1" s="121" t="s">
        <v>153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x14ac:dyDescent="0.35">
      <c r="A2" s="32" t="s">
        <v>96</v>
      </c>
      <c r="B2" s="62" t="str">
        <f>cashflow!A4</f>
        <v>Cash In</v>
      </c>
      <c r="C2" s="116" t="s">
        <v>116</v>
      </c>
      <c r="D2" s="84" t="str">
        <f>cashflow!B4</f>
        <v>Sep</v>
      </c>
      <c r="E2" s="84" t="str">
        <f>cashflow!C4</f>
        <v>Oct</v>
      </c>
      <c r="F2" s="84" t="str">
        <f>cashflow!D4</f>
        <v>Nov</v>
      </c>
      <c r="G2" s="84" t="str">
        <f>cashflow!E4</f>
        <v>Dec</v>
      </c>
      <c r="H2" s="84" t="str">
        <f>cashflow!F4</f>
        <v>Jan</v>
      </c>
      <c r="I2" s="84" t="str">
        <f>cashflow!G4</f>
        <v>Feb</v>
      </c>
      <c r="J2" s="84" t="str">
        <f>cashflow!H4</f>
        <v>Mar</v>
      </c>
      <c r="K2" s="84" t="str">
        <f>cashflow!I4</f>
        <v>Apr</v>
      </c>
      <c r="L2" s="84" t="str">
        <f>cashflow!J4</f>
        <v>May</v>
      </c>
      <c r="M2" s="84" t="str">
        <f>cashflow!K4</f>
        <v>Jun</v>
      </c>
      <c r="N2" s="84" t="str">
        <f>cashflow!L4</f>
        <v>Jul</v>
      </c>
      <c r="O2" s="84" t="str">
        <f>cashflow!M4</f>
        <v>Aug</v>
      </c>
      <c r="P2" s="85" t="str">
        <f>cashflow!N4</f>
        <v>TOTAL</v>
      </c>
    </row>
    <row r="3" spans="1:16" x14ac:dyDescent="0.35">
      <c r="A3" s="137" t="s">
        <v>164</v>
      </c>
      <c r="B3" s="86" t="s">
        <v>3</v>
      </c>
      <c r="C3" s="86"/>
      <c r="D3" s="134">
        <v>250</v>
      </c>
      <c r="E3" s="134">
        <v>250</v>
      </c>
      <c r="F3" s="134">
        <v>250</v>
      </c>
      <c r="G3" s="134">
        <v>250</v>
      </c>
      <c r="H3" s="134">
        <v>250</v>
      </c>
      <c r="I3" s="134">
        <v>250</v>
      </c>
      <c r="J3" s="134">
        <v>250</v>
      </c>
      <c r="K3" s="134">
        <v>250</v>
      </c>
      <c r="L3" s="134">
        <v>250</v>
      </c>
      <c r="M3" s="134">
        <v>250</v>
      </c>
      <c r="N3" s="134">
        <v>250</v>
      </c>
      <c r="O3" s="134">
        <v>250</v>
      </c>
      <c r="P3" s="87">
        <f>SUM(D3:O3)</f>
        <v>3000</v>
      </c>
    </row>
    <row r="4" spans="1:16" x14ac:dyDescent="0.35">
      <c r="A4" s="135">
        <v>5</v>
      </c>
      <c r="B4" s="86" t="s">
        <v>94</v>
      </c>
      <c r="C4" s="113"/>
      <c r="D4" s="89">
        <f>+D3*$A$4</f>
        <v>1250</v>
      </c>
      <c r="E4" s="89">
        <f t="shared" ref="E4:O4" si="0">+E3*$A$4</f>
        <v>1250</v>
      </c>
      <c r="F4" s="89">
        <f t="shared" si="0"/>
        <v>1250</v>
      </c>
      <c r="G4" s="89">
        <f t="shared" si="0"/>
        <v>1250</v>
      </c>
      <c r="H4" s="89">
        <f t="shared" si="0"/>
        <v>1250</v>
      </c>
      <c r="I4" s="89">
        <f t="shared" si="0"/>
        <v>1250</v>
      </c>
      <c r="J4" s="89">
        <f t="shared" si="0"/>
        <v>1250</v>
      </c>
      <c r="K4" s="89">
        <f t="shared" si="0"/>
        <v>1250</v>
      </c>
      <c r="L4" s="89">
        <f t="shared" si="0"/>
        <v>1250</v>
      </c>
      <c r="M4" s="89">
        <f t="shared" si="0"/>
        <v>1250</v>
      </c>
      <c r="N4" s="89">
        <f t="shared" si="0"/>
        <v>1250</v>
      </c>
      <c r="O4" s="89">
        <f t="shared" si="0"/>
        <v>1250</v>
      </c>
      <c r="P4" s="87">
        <f t="shared" ref="P4:P26" si="1">SUM(D4:O4)</f>
        <v>15000</v>
      </c>
    </row>
    <row r="5" spans="1:16" ht="20.25" thickBot="1" x14ac:dyDescent="0.4">
      <c r="A5" s="135">
        <v>0</v>
      </c>
      <c r="B5" s="86" t="s">
        <v>81</v>
      </c>
      <c r="C5" s="136">
        <v>0.05</v>
      </c>
      <c r="D5" s="90">
        <f>$C$5*D4</f>
        <v>62.5</v>
      </c>
      <c r="E5" s="90">
        <f t="shared" ref="E5:O5" si="2">$C$5*E4</f>
        <v>62.5</v>
      </c>
      <c r="F5" s="90">
        <f t="shared" si="2"/>
        <v>62.5</v>
      </c>
      <c r="G5" s="90">
        <f t="shared" si="2"/>
        <v>62.5</v>
      </c>
      <c r="H5" s="90">
        <f t="shared" si="2"/>
        <v>62.5</v>
      </c>
      <c r="I5" s="90">
        <f t="shared" si="2"/>
        <v>62.5</v>
      </c>
      <c r="J5" s="90">
        <f t="shared" si="2"/>
        <v>62.5</v>
      </c>
      <c r="K5" s="90">
        <f t="shared" si="2"/>
        <v>62.5</v>
      </c>
      <c r="L5" s="90">
        <f t="shared" si="2"/>
        <v>62.5</v>
      </c>
      <c r="M5" s="90">
        <f t="shared" si="2"/>
        <v>62.5</v>
      </c>
      <c r="N5" s="90">
        <f t="shared" si="2"/>
        <v>62.5</v>
      </c>
      <c r="O5" s="90">
        <f t="shared" si="2"/>
        <v>62.5</v>
      </c>
      <c r="P5" s="87">
        <f t="shared" si="1"/>
        <v>750</v>
      </c>
    </row>
    <row r="6" spans="1:16" ht="20.25" thickTop="1" x14ac:dyDescent="0.35">
      <c r="A6" s="88"/>
      <c r="B6" s="86"/>
      <c r="C6" s="115"/>
      <c r="D6" s="118">
        <f>D4-D5</f>
        <v>1187.5</v>
      </c>
      <c r="E6" s="118">
        <f t="shared" ref="E6:O6" si="3">E4-E5</f>
        <v>1187.5</v>
      </c>
      <c r="F6" s="118">
        <f t="shared" si="3"/>
        <v>1187.5</v>
      </c>
      <c r="G6" s="118">
        <f t="shared" si="3"/>
        <v>1187.5</v>
      </c>
      <c r="H6" s="118">
        <f t="shared" si="3"/>
        <v>1187.5</v>
      </c>
      <c r="I6" s="118">
        <f t="shared" si="3"/>
        <v>1187.5</v>
      </c>
      <c r="J6" s="118">
        <f t="shared" si="3"/>
        <v>1187.5</v>
      </c>
      <c r="K6" s="118">
        <f t="shared" si="3"/>
        <v>1187.5</v>
      </c>
      <c r="L6" s="118">
        <f t="shared" si="3"/>
        <v>1187.5</v>
      </c>
      <c r="M6" s="118">
        <f t="shared" si="3"/>
        <v>1187.5</v>
      </c>
      <c r="N6" s="118">
        <f t="shared" si="3"/>
        <v>1187.5</v>
      </c>
      <c r="O6" s="118">
        <f t="shared" si="3"/>
        <v>1187.5</v>
      </c>
      <c r="P6" s="87">
        <f t="shared" si="1"/>
        <v>14250</v>
      </c>
    </row>
    <row r="7" spans="1:16" x14ac:dyDescent="0.35">
      <c r="A7" s="88"/>
      <c r="B7" s="86"/>
      <c r="C7" s="115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87"/>
    </row>
    <row r="8" spans="1:16" x14ac:dyDescent="0.35">
      <c r="A8" s="137" t="s">
        <v>174</v>
      </c>
      <c r="B8" s="86" t="s">
        <v>3</v>
      </c>
      <c r="C8" s="86"/>
      <c r="D8" s="134">
        <v>125</v>
      </c>
      <c r="E8" s="134">
        <v>125</v>
      </c>
      <c r="F8" s="134">
        <v>125</v>
      </c>
      <c r="G8" s="134">
        <v>125</v>
      </c>
      <c r="H8" s="134">
        <v>125</v>
      </c>
      <c r="I8" s="134">
        <v>125</v>
      </c>
      <c r="J8" s="134">
        <v>125</v>
      </c>
      <c r="K8" s="134">
        <v>125</v>
      </c>
      <c r="L8" s="134">
        <v>125</v>
      </c>
      <c r="M8" s="134">
        <v>125</v>
      </c>
      <c r="N8" s="134">
        <v>125</v>
      </c>
      <c r="O8" s="134">
        <v>125</v>
      </c>
      <c r="P8" s="87">
        <f t="shared" si="1"/>
        <v>1500</v>
      </c>
    </row>
    <row r="9" spans="1:16" x14ac:dyDescent="0.35">
      <c r="A9" s="135">
        <v>10</v>
      </c>
      <c r="B9" s="86" t="s">
        <v>94</v>
      </c>
      <c r="C9" s="113"/>
      <c r="D9" s="89">
        <f>+D8*$A$9</f>
        <v>1250</v>
      </c>
      <c r="E9" s="89">
        <f t="shared" ref="E9:O9" si="4">+E8*$A$9</f>
        <v>1250</v>
      </c>
      <c r="F9" s="89">
        <f t="shared" si="4"/>
        <v>1250</v>
      </c>
      <c r="G9" s="89">
        <f t="shared" si="4"/>
        <v>1250</v>
      </c>
      <c r="H9" s="89">
        <f t="shared" si="4"/>
        <v>1250</v>
      </c>
      <c r="I9" s="89">
        <f t="shared" si="4"/>
        <v>1250</v>
      </c>
      <c r="J9" s="89">
        <f t="shared" si="4"/>
        <v>1250</v>
      </c>
      <c r="K9" s="89">
        <f t="shared" si="4"/>
        <v>1250</v>
      </c>
      <c r="L9" s="89">
        <f t="shared" si="4"/>
        <v>1250</v>
      </c>
      <c r="M9" s="89">
        <f t="shared" si="4"/>
        <v>1250</v>
      </c>
      <c r="N9" s="89">
        <f t="shared" si="4"/>
        <v>1250</v>
      </c>
      <c r="O9" s="89">
        <f t="shared" si="4"/>
        <v>1250</v>
      </c>
      <c r="P9" s="87">
        <f t="shared" si="1"/>
        <v>15000</v>
      </c>
    </row>
    <row r="10" spans="1:16" ht="20.25" thickBot="1" x14ac:dyDescent="0.4">
      <c r="A10" s="135">
        <v>0</v>
      </c>
      <c r="B10" s="86" t="s">
        <v>81</v>
      </c>
      <c r="C10" s="138">
        <v>0.2</v>
      </c>
      <c r="D10" s="90">
        <f>$C$10*D9</f>
        <v>250</v>
      </c>
      <c r="E10" s="90">
        <f t="shared" ref="E10:O10" si="5">$C$10*E9</f>
        <v>250</v>
      </c>
      <c r="F10" s="90">
        <f t="shared" si="5"/>
        <v>250</v>
      </c>
      <c r="G10" s="90">
        <f t="shared" si="5"/>
        <v>250</v>
      </c>
      <c r="H10" s="90">
        <f t="shared" si="5"/>
        <v>250</v>
      </c>
      <c r="I10" s="90">
        <f t="shared" si="5"/>
        <v>250</v>
      </c>
      <c r="J10" s="90">
        <f t="shared" si="5"/>
        <v>250</v>
      </c>
      <c r="K10" s="90">
        <f t="shared" si="5"/>
        <v>250</v>
      </c>
      <c r="L10" s="90">
        <f t="shared" si="5"/>
        <v>250</v>
      </c>
      <c r="M10" s="90">
        <f t="shared" si="5"/>
        <v>250</v>
      </c>
      <c r="N10" s="90">
        <f t="shared" si="5"/>
        <v>250</v>
      </c>
      <c r="O10" s="90">
        <f t="shared" si="5"/>
        <v>250</v>
      </c>
      <c r="P10" s="87">
        <f t="shared" si="1"/>
        <v>3000</v>
      </c>
    </row>
    <row r="11" spans="1:16" ht="20.25" thickTop="1" x14ac:dyDescent="0.35">
      <c r="A11" s="88"/>
      <c r="B11" s="86"/>
      <c r="C11" s="117"/>
      <c r="D11" s="118">
        <f>D9-D10</f>
        <v>1000</v>
      </c>
      <c r="E11" s="118">
        <f t="shared" ref="E11:O11" si="6">E9-E10</f>
        <v>1000</v>
      </c>
      <c r="F11" s="118">
        <f t="shared" si="6"/>
        <v>1000</v>
      </c>
      <c r="G11" s="118">
        <f t="shared" si="6"/>
        <v>1000</v>
      </c>
      <c r="H11" s="118">
        <f t="shared" si="6"/>
        <v>1000</v>
      </c>
      <c r="I11" s="118">
        <f t="shared" si="6"/>
        <v>1000</v>
      </c>
      <c r="J11" s="118">
        <f t="shared" si="6"/>
        <v>1000</v>
      </c>
      <c r="K11" s="118">
        <f t="shared" si="6"/>
        <v>1000</v>
      </c>
      <c r="L11" s="118">
        <f t="shared" si="6"/>
        <v>1000</v>
      </c>
      <c r="M11" s="118">
        <f t="shared" si="6"/>
        <v>1000</v>
      </c>
      <c r="N11" s="118">
        <f t="shared" si="6"/>
        <v>1000</v>
      </c>
      <c r="O11" s="118">
        <f t="shared" si="6"/>
        <v>1000</v>
      </c>
      <c r="P11" s="87">
        <f t="shared" si="1"/>
        <v>12000</v>
      </c>
    </row>
    <row r="12" spans="1:16" x14ac:dyDescent="0.35">
      <c r="A12" s="88"/>
      <c r="B12" s="86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87"/>
    </row>
    <row r="13" spans="1:16" x14ac:dyDescent="0.35">
      <c r="A13" s="137" t="s">
        <v>175</v>
      </c>
      <c r="B13" s="86" t="s">
        <v>3</v>
      </c>
      <c r="C13" s="86"/>
      <c r="D13" s="134">
        <v>125</v>
      </c>
      <c r="E13" s="134">
        <v>125</v>
      </c>
      <c r="F13" s="134">
        <v>125</v>
      </c>
      <c r="G13" s="134">
        <v>125</v>
      </c>
      <c r="H13" s="134">
        <v>125</v>
      </c>
      <c r="I13" s="134">
        <v>125</v>
      </c>
      <c r="J13" s="134">
        <v>125</v>
      </c>
      <c r="K13" s="134">
        <v>125</v>
      </c>
      <c r="L13" s="134">
        <v>125</v>
      </c>
      <c r="M13" s="134">
        <v>125</v>
      </c>
      <c r="N13" s="134">
        <v>125</v>
      </c>
      <c r="O13" s="134">
        <v>125</v>
      </c>
      <c r="P13" s="87">
        <f t="shared" si="1"/>
        <v>1500</v>
      </c>
    </row>
    <row r="14" spans="1:16" x14ac:dyDescent="0.35">
      <c r="A14" s="135">
        <v>10</v>
      </c>
      <c r="B14" s="86" t="s">
        <v>94</v>
      </c>
      <c r="C14" s="113"/>
      <c r="D14" s="89">
        <f>+D13*$A$14</f>
        <v>1250</v>
      </c>
      <c r="E14" s="89">
        <f t="shared" ref="E14:O14" si="7">+E13*$A$14</f>
        <v>1250</v>
      </c>
      <c r="F14" s="89">
        <f t="shared" si="7"/>
        <v>1250</v>
      </c>
      <c r="G14" s="89">
        <f t="shared" si="7"/>
        <v>1250</v>
      </c>
      <c r="H14" s="89">
        <f t="shared" si="7"/>
        <v>1250</v>
      </c>
      <c r="I14" s="89">
        <f t="shared" si="7"/>
        <v>1250</v>
      </c>
      <c r="J14" s="89">
        <f t="shared" si="7"/>
        <v>1250</v>
      </c>
      <c r="K14" s="89">
        <f t="shared" si="7"/>
        <v>1250</v>
      </c>
      <c r="L14" s="89">
        <f t="shared" si="7"/>
        <v>1250</v>
      </c>
      <c r="M14" s="89">
        <f t="shared" si="7"/>
        <v>1250</v>
      </c>
      <c r="N14" s="89">
        <f t="shared" si="7"/>
        <v>1250</v>
      </c>
      <c r="O14" s="89">
        <f t="shared" si="7"/>
        <v>1250</v>
      </c>
      <c r="P14" s="87">
        <f t="shared" si="1"/>
        <v>15000</v>
      </c>
    </row>
    <row r="15" spans="1:16" ht="20.25" thickBot="1" x14ac:dyDescent="0.4">
      <c r="A15" s="135">
        <v>0</v>
      </c>
      <c r="B15" s="86" t="s">
        <v>81</v>
      </c>
      <c r="C15" s="138">
        <v>0.3</v>
      </c>
      <c r="D15" s="90">
        <f>$C$15*D14</f>
        <v>375</v>
      </c>
      <c r="E15" s="90">
        <f t="shared" ref="E15:O15" si="8">$C$15*E14</f>
        <v>375</v>
      </c>
      <c r="F15" s="90">
        <f t="shared" si="8"/>
        <v>375</v>
      </c>
      <c r="G15" s="90">
        <f t="shared" si="8"/>
        <v>375</v>
      </c>
      <c r="H15" s="90">
        <f t="shared" si="8"/>
        <v>375</v>
      </c>
      <c r="I15" s="90">
        <f t="shared" si="8"/>
        <v>375</v>
      </c>
      <c r="J15" s="90">
        <f t="shared" si="8"/>
        <v>375</v>
      </c>
      <c r="K15" s="90">
        <f t="shared" si="8"/>
        <v>375</v>
      </c>
      <c r="L15" s="90">
        <f t="shared" si="8"/>
        <v>375</v>
      </c>
      <c r="M15" s="90">
        <f t="shared" si="8"/>
        <v>375</v>
      </c>
      <c r="N15" s="90">
        <f t="shared" si="8"/>
        <v>375</v>
      </c>
      <c r="O15" s="90">
        <f t="shared" si="8"/>
        <v>375</v>
      </c>
      <c r="P15" s="87">
        <f t="shared" si="1"/>
        <v>4500</v>
      </c>
    </row>
    <row r="16" spans="1:16" ht="20.25" thickTop="1" x14ac:dyDescent="0.35">
      <c r="A16" s="88"/>
      <c r="B16" s="86"/>
      <c r="C16" s="117"/>
      <c r="D16" s="118">
        <f>D14-D15</f>
        <v>875</v>
      </c>
      <c r="E16" s="118">
        <f t="shared" ref="E16:N16" si="9">E14-E15</f>
        <v>875</v>
      </c>
      <c r="F16" s="118">
        <f t="shared" si="9"/>
        <v>875</v>
      </c>
      <c r="G16" s="118">
        <f t="shared" si="9"/>
        <v>875</v>
      </c>
      <c r="H16" s="118">
        <f t="shared" si="9"/>
        <v>875</v>
      </c>
      <c r="I16" s="118">
        <f t="shared" si="9"/>
        <v>875</v>
      </c>
      <c r="J16" s="118">
        <f t="shared" si="9"/>
        <v>875</v>
      </c>
      <c r="K16" s="118">
        <f t="shared" si="9"/>
        <v>875</v>
      </c>
      <c r="L16" s="118">
        <f t="shared" si="9"/>
        <v>875</v>
      </c>
      <c r="M16" s="118">
        <f t="shared" si="9"/>
        <v>875</v>
      </c>
      <c r="N16" s="118">
        <f t="shared" si="9"/>
        <v>875</v>
      </c>
      <c r="O16" s="118">
        <f>O14-O15</f>
        <v>875</v>
      </c>
      <c r="P16" s="87">
        <f t="shared" si="1"/>
        <v>10500</v>
      </c>
    </row>
    <row r="17" spans="1:16" x14ac:dyDescent="0.35">
      <c r="A17" s="88"/>
      <c r="B17" s="86"/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87"/>
    </row>
    <row r="18" spans="1:16" x14ac:dyDescent="0.35">
      <c r="A18" s="137" t="s">
        <v>176</v>
      </c>
      <c r="B18" s="86" t="s">
        <v>3</v>
      </c>
      <c r="C18" s="86"/>
      <c r="D18" s="134">
        <v>75</v>
      </c>
      <c r="E18" s="134">
        <v>75</v>
      </c>
      <c r="F18" s="134">
        <v>75</v>
      </c>
      <c r="G18" s="134">
        <v>75</v>
      </c>
      <c r="H18" s="134">
        <v>75</v>
      </c>
      <c r="I18" s="134">
        <v>75</v>
      </c>
      <c r="J18" s="134">
        <v>75</v>
      </c>
      <c r="K18" s="134">
        <v>75</v>
      </c>
      <c r="L18" s="134">
        <v>75</v>
      </c>
      <c r="M18" s="134">
        <v>75</v>
      </c>
      <c r="N18" s="134">
        <v>75</v>
      </c>
      <c r="O18" s="134">
        <v>75</v>
      </c>
      <c r="P18" s="87">
        <f t="shared" si="1"/>
        <v>900</v>
      </c>
    </row>
    <row r="19" spans="1:16" x14ac:dyDescent="0.35">
      <c r="A19" s="135">
        <v>10</v>
      </c>
      <c r="B19" s="86" t="s">
        <v>94</v>
      </c>
      <c r="C19" s="113"/>
      <c r="D19" s="89">
        <f>+D18*$A$19</f>
        <v>750</v>
      </c>
      <c r="E19" s="89">
        <f t="shared" ref="E19:O19" si="10">+E18*$A$19</f>
        <v>750</v>
      </c>
      <c r="F19" s="89">
        <f t="shared" si="10"/>
        <v>750</v>
      </c>
      <c r="G19" s="89">
        <f t="shared" si="10"/>
        <v>750</v>
      </c>
      <c r="H19" s="89">
        <f t="shared" si="10"/>
        <v>750</v>
      </c>
      <c r="I19" s="89">
        <f t="shared" si="10"/>
        <v>750</v>
      </c>
      <c r="J19" s="89">
        <f t="shared" si="10"/>
        <v>750</v>
      </c>
      <c r="K19" s="89">
        <f t="shared" si="10"/>
        <v>750</v>
      </c>
      <c r="L19" s="89">
        <f t="shared" si="10"/>
        <v>750</v>
      </c>
      <c r="M19" s="89">
        <f t="shared" si="10"/>
        <v>750</v>
      </c>
      <c r="N19" s="89">
        <f t="shared" si="10"/>
        <v>750</v>
      </c>
      <c r="O19" s="89">
        <f t="shared" si="10"/>
        <v>750</v>
      </c>
      <c r="P19" s="87">
        <f t="shared" si="1"/>
        <v>9000</v>
      </c>
    </row>
    <row r="20" spans="1:16" ht="20.25" thickBot="1" x14ac:dyDescent="0.4">
      <c r="A20" s="135">
        <v>0</v>
      </c>
      <c r="B20" s="86" t="s">
        <v>81</v>
      </c>
      <c r="C20" s="138">
        <v>0.4</v>
      </c>
      <c r="D20" s="90">
        <f>$C$20*D19</f>
        <v>300</v>
      </c>
      <c r="E20" s="90">
        <f t="shared" ref="E20:O20" si="11">$C$20*E19</f>
        <v>300</v>
      </c>
      <c r="F20" s="90">
        <f t="shared" si="11"/>
        <v>300</v>
      </c>
      <c r="G20" s="90">
        <f t="shared" si="11"/>
        <v>300</v>
      </c>
      <c r="H20" s="90">
        <f t="shared" si="11"/>
        <v>300</v>
      </c>
      <c r="I20" s="90">
        <f t="shared" si="11"/>
        <v>300</v>
      </c>
      <c r="J20" s="90">
        <f t="shared" si="11"/>
        <v>300</v>
      </c>
      <c r="K20" s="90">
        <f t="shared" si="11"/>
        <v>300</v>
      </c>
      <c r="L20" s="90">
        <f t="shared" si="11"/>
        <v>300</v>
      </c>
      <c r="M20" s="90">
        <f t="shared" si="11"/>
        <v>300</v>
      </c>
      <c r="N20" s="90">
        <f t="shared" si="11"/>
        <v>300</v>
      </c>
      <c r="O20" s="90">
        <f t="shared" si="11"/>
        <v>300</v>
      </c>
      <c r="P20" s="87">
        <f t="shared" si="1"/>
        <v>3600</v>
      </c>
    </row>
    <row r="21" spans="1:16" ht="20.25" thickTop="1" x14ac:dyDescent="0.35">
      <c r="A21" s="88"/>
      <c r="B21" s="86"/>
      <c r="C21" s="117"/>
      <c r="D21" s="118">
        <f>D19-D20</f>
        <v>450</v>
      </c>
      <c r="E21" s="118">
        <f t="shared" ref="E21:O21" si="12">E19-E20</f>
        <v>450</v>
      </c>
      <c r="F21" s="118">
        <f t="shared" si="12"/>
        <v>450</v>
      </c>
      <c r="G21" s="118">
        <f t="shared" si="12"/>
        <v>450</v>
      </c>
      <c r="H21" s="118">
        <f t="shared" si="12"/>
        <v>450</v>
      </c>
      <c r="I21" s="118">
        <f t="shared" si="12"/>
        <v>450</v>
      </c>
      <c r="J21" s="118">
        <f t="shared" si="12"/>
        <v>450</v>
      </c>
      <c r="K21" s="118">
        <f t="shared" si="12"/>
        <v>450</v>
      </c>
      <c r="L21" s="118">
        <f t="shared" si="12"/>
        <v>450</v>
      </c>
      <c r="M21" s="118">
        <f t="shared" si="12"/>
        <v>450</v>
      </c>
      <c r="N21" s="118">
        <f t="shared" si="12"/>
        <v>450</v>
      </c>
      <c r="O21" s="118">
        <f t="shared" si="12"/>
        <v>450</v>
      </c>
      <c r="P21" s="87">
        <f t="shared" si="1"/>
        <v>5400</v>
      </c>
    </row>
    <row r="22" spans="1:16" x14ac:dyDescent="0.35">
      <c r="A22" s="88"/>
      <c r="B22" s="86"/>
      <c r="C22" s="117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87"/>
    </row>
    <row r="23" spans="1:16" x14ac:dyDescent="0.35">
      <c r="A23" s="88"/>
      <c r="B23" s="86"/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87"/>
    </row>
    <row r="24" spans="1:16" ht="20.25" thickBot="1" x14ac:dyDescent="0.4">
      <c r="A24" s="88"/>
      <c r="B24" s="86"/>
      <c r="C24" s="117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87"/>
    </row>
    <row r="25" spans="1:16" s="93" customFormat="1" ht="20.25" thickTop="1" x14ac:dyDescent="0.35">
      <c r="A25" s="91" t="s">
        <v>84</v>
      </c>
      <c r="B25" s="91"/>
      <c r="C25" s="114"/>
      <c r="D25" s="92">
        <f>D4+D9+D14+D19</f>
        <v>4500</v>
      </c>
      <c r="E25" s="92">
        <f t="shared" ref="E25:O25" si="13">E4+E9+E14+E19</f>
        <v>4500</v>
      </c>
      <c r="F25" s="92">
        <f t="shared" si="13"/>
        <v>4500</v>
      </c>
      <c r="G25" s="92">
        <f t="shared" si="13"/>
        <v>4500</v>
      </c>
      <c r="H25" s="92">
        <f t="shared" si="13"/>
        <v>4500</v>
      </c>
      <c r="I25" s="92">
        <f t="shared" si="13"/>
        <v>4500</v>
      </c>
      <c r="J25" s="92">
        <f t="shared" si="13"/>
        <v>4500</v>
      </c>
      <c r="K25" s="92">
        <f t="shared" si="13"/>
        <v>4500</v>
      </c>
      <c r="L25" s="92">
        <f t="shared" si="13"/>
        <v>4500</v>
      </c>
      <c r="M25" s="92">
        <f t="shared" si="13"/>
        <v>4500</v>
      </c>
      <c r="N25" s="92">
        <f t="shared" si="13"/>
        <v>4500</v>
      </c>
      <c r="O25" s="92">
        <f t="shared" si="13"/>
        <v>4500</v>
      </c>
      <c r="P25" s="87">
        <f t="shared" si="1"/>
        <v>54000</v>
      </c>
    </row>
    <row r="26" spans="1:16" s="93" customFormat="1" x14ac:dyDescent="0.35">
      <c r="A26" s="91" t="s">
        <v>95</v>
      </c>
      <c r="B26" s="91"/>
      <c r="C26" s="91"/>
      <c r="D26" s="86">
        <f>D5+D10+D15+D20</f>
        <v>987.5</v>
      </c>
      <c r="E26" s="86">
        <f t="shared" ref="E26:O26" si="14">E5+E10+E15+E20</f>
        <v>987.5</v>
      </c>
      <c r="F26" s="86">
        <f t="shared" si="14"/>
        <v>987.5</v>
      </c>
      <c r="G26" s="86">
        <f t="shared" si="14"/>
        <v>987.5</v>
      </c>
      <c r="H26" s="86">
        <f t="shared" si="14"/>
        <v>987.5</v>
      </c>
      <c r="I26" s="86">
        <f t="shared" si="14"/>
        <v>987.5</v>
      </c>
      <c r="J26" s="86">
        <f t="shared" si="14"/>
        <v>987.5</v>
      </c>
      <c r="K26" s="86">
        <f t="shared" si="14"/>
        <v>987.5</v>
      </c>
      <c r="L26" s="86">
        <f t="shared" si="14"/>
        <v>987.5</v>
      </c>
      <c r="M26" s="86">
        <f t="shared" si="14"/>
        <v>987.5</v>
      </c>
      <c r="N26" s="86">
        <f t="shared" si="14"/>
        <v>987.5</v>
      </c>
      <c r="O26" s="86">
        <f t="shared" si="14"/>
        <v>987.5</v>
      </c>
      <c r="P26" s="87">
        <f t="shared" si="1"/>
        <v>11850</v>
      </c>
    </row>
    <row r="27" spans="1:16" x14ac:dyDescent="0.35">
      <c r="A27" s="157" t="s">
        <v>177</v>
      </c>
      <c r="B27" s="157"/>
      <c r="C27" s="157"/>
    </row>
    <row r="28" spans="1:16" x14ac:dyDescent="0.35">
      <c r="B28" s="94"/>
      <c r="C28" s="94"/>
    </row>
    <row r="29" spans="1:16" x14ac:dyDescent="0.35">
      <c r="B29" s="94"/>
      <c r="C29" s="94"/>
      <c r="D29" s="95"/>
    </row>
    <row r="30" spans="1:16" x14ac:dyDescent="0.35">
      <c r="B30" s="94"/>
      <c r="C30" s="94"/>
      <c r="E30" s="94"/>
    </row>
    <row r="33" spans="2:3" x14ac:dyDescent="0.35">
      <c r="B33" s="94"/>
      <c r="C33" s="94"/>
    </row>
    <row r="34" spans="2:3" x14ac:dyDescent="0.35">
      <c r="B34" s="96"/>
      <c r="C34" s="96"/>
    </row>
    <row r="36" spans="2:3" x14ac:dyDescent="0.35">
      <c r="B36" s="93"/>
      <c r="C36" s="93"/>
    </row>
  </sheetData>
  <mergeCells count="1">
    <mergeCell ref="A1:P1"/>
  </mergeCells>
  <phoneticPr fontId="0" type="noConversion"/>
  <pageMargins left="0.19685039370078741" right="0.19685039370078741" top="0.19685039370078741" bottom="0.19685039370078741" header="0" footer="0"/>
  <pageSetup scale="49" orientation="landscape" r:id="rId1"/>
  <headerFooter alignWithMargins="0">
    <oddFooter>&amp;LPrepared with assistance, Aboriginal Business Development Centre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A21" zoomScale="112" zoomScaleNormal="112" workbookViewId="0">
      <selection activeCell="A45" sqref="A45"/>
    </sheetView>
  </sheetViews>
  <sheetFormatPr defaultRowHeight="12.75" x14ac:dyDescent="0.2"/>
  <cols>
    <col min="1" max="1" width="28.28515625" bestFit="1" customWidth="1"/>
    <col min="2" max="4" width="11.42578125" style="2" bestFit="1" customWidth="1"/>
    <col min="5" max="7" width="11" style="2" bestFit="1" customWidth="1"/>
    <col min="8" max="12" width="10.85546875" style="2" bestFit="1" customWidth="1"/>
    <col min="13" max="14" width="11.42578125" style="2" bestFit="1" customWidth="1"/>
    <col min="15" max="15" width="8.5703125" style="3" bestFit="1" customWidth="1"/>
  </cols>
  <sheetData>
    <row r="1" spans="1:21" s="6" customFormat="1" ht="19.5" x14ac:dyDescent="0.3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5"/>
      <c r="P1" s="6" t="s">
        <v>1</v>
      </c>
      <c r="R1" s="142">
        <v>9</v>
      </c>
    </row>
    <row r="2" spans="1:21" s="64" customFormat="1" ht="23.25" x14ac:dyDescent="0.3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70" t="s">
        <v>2</v>
      </c>
    </row>
    <row r="3" spans="1:21" s="11" customFormat="1" ht="7.5" customHeight="1" x14ac:dyDescent="0.15"/>
    <row r="4" spans="1:21" s="32" customFormat="1" ht="18" x14ac:dyDescent="0.25">
      <c r="A4" s="41" t="s">
        <v>5</v>
      </c>
      <c r="B4" s="42" t="str">
        <f>VLOOKUP($R$1,Months,2)</f>
        <v>Sep</v>
      </c>
      <c r="C4" s="42" t="str">
        <f>VLOOKUP($R$1+1,Months,2)</f>
        <v>Oct</v>
      </c>
      <c r="D4" s="42" t="str">
        <f>VLOOKUP($R$1+2,Months,2)</f>
        <v>Nov</v>
      </c>
      <c r="E4" s="42" t="str">
        <f>VLOOKUP($R$1+3,Months,2)</f>
        <v>Dec</v>
      </c>
      <c r="F4" s="42" t="str">
        <f>VLOOKUP($R$1+4,Months,2)</f>
        <v>Jan</v>
      </c>
      <c r="G4" s="42" t="str">
        <f>VLOOKUP($R$1+5,Months,2)</f>
        <v>Feb</v>
      </c>
      <c r="H4" s="42" t="str">
        <f>VLOOKUP($R$1+6,Months,2)</f>
        <v>Mar</v>
      </c>
      <c r="I4" s="42" t="str">
        <f>VLOOKUP($R$1+7,Months,2)</f>
        <v>Apr</v>
      </c>
      <c r="J4" s="42" t="str">
        <f>VLOOKUP($R$1+8,Months,2)</f>
        <v>May</v>
      </c>
      <c r="K4" s="42" t="str">
        <f>VLOOKUP($R$1+9,Months,2)</f>
        <v>Jun</v>
      </c>
      <c r="L4" s="42" t="str">
        <f>VLOOKUP($R$1+10,Months,2)</f>
        <v>Jul</v>
      </c>
      <c r="M4" s="42" t="str">
        <f>VLOOKUP($R$1+11,Months,2)</f>
        <v>Aug</v>
      </c>
      <c r="N4" s="43" t="s">
        <v>4</v>
      </c>
      <c r="O4" s="44"/>
    </row>
    <row r="5" spans="1:21" s="30" customFormat="1" x14ac:dyDescent="0.2">
      <c r="A5" s="71" t="s">
        <v>84</v>
      </c>
      <c r="B5" s="108">
        <f>'Sales Forecast'!D25</f>
        <v>4500</v>
      </c>
      <c r="C5" s="108">
        <f>'Sales Forecast'!E25</f>
        <v>4500</v>
      </c>
      <c r="D5" s="108">
        <f>'Sales Forecast'!F25</f>
        <v>4500</v>
      </c>
      <c r="E5" s="108">
        <f>'Sales Forecast'!G25</f>
        <v>4500</v>
      </c>
      <c r="F5" s="108">
        <f>'Sales Forecast'!H25</f>
        <v>4500</v>
      </c>
      <c r="G5" s="108">
        <f>'Sales Forecast'!I25</f>
        <v>4500</v>
      </c>
      <c r="H5" s="108">
        <f>'Sales Forecast'!J25</f>
        <v>4500</v>
      </c>
      <c r="I5" s="108">
        <f>'Sales Forecast'!K25</f>
        <v>4500</v>
      </c>
      <c r="J5" s="108">
        <f>'Sales Forecast'!L25</f>
        <v>4500</v>
      </c>
      <c r="K5" s="108">
        <f>'Sales Forecast'!M25</f>
        <v>4500</v>
      </c>
      <c r="L5" s="108">
        <f>'Sales Forecast'!N25</f>
        <v>4500</v>
      </c>
      <c r="M5" s="108">
        <f>'Sales Forecast'!O25</f>
        <v>4500</v>
      </c>
      <c r="N5" s="108">
        <f>SUM(B5:M5)</f>
        <v>54000</v>
      </c>
      <c r="O5" s="49"/>
    </row>
    <row r="6" spans="1:21" s="30" customFormat="1" x14ac:dyDescent="0.2">
      <c r="A6" s="72" t="s">
        <v>165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08">
        <f>SUM(B6:M6)</f>
        <v>0</v>
      </c>
      <c r="O6" s="49"/>
    </row>
    <row r="7" spans="1:21" s="30" customFormat="1" x14ac:dyDescent="0.2">
      <c r="A7" s="72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08"/>
      <c r="O7" s="49"/>
    </row>
    <row r="8" spans="1:21" s="30" customFormat="1" ht="13.5" thickBot="1" x14ac:dyDescent="0.25">
      <c r="A8" s="72" t="s">
        <v>125</v>
      </c>
      <c r="B8" s="73">
        <f>'Sales Forecast'!D26</f>
        <v>987.5</v>
      </c>
      <c r="C8" s="73">
        <f>'Sales Forecast'!E26</f>
        <v>987.5</v>
      </c>
      <c r="D8" s="73">
        <f>'Sales Forecast'!F26</f>
        <v>987.5</v>
      </c>
      <c r="E8" s="73">
        <f>'Sales Forecast'!G26</f>
        <v>987.5</v>
      </c>
      <c r="F8" s="73">
        <f>'Sales Forecast'!H26</f>
        <v>987.5</v>
      </c>
      <c r="G8" s="73">
        <f>'Sales Forecast'!I26</f>
        <v>987.5</v>
      </c>
      <c r="H8" s="73">
        <f>'Sales Forecast'!J26</f>
        <v>987.5</v>
      </c>
      <c r="I8" s="73">
        <f>'Sales Forecast'!K26</f>
        <v>987.5</v>
      </c>
      <c r="J8" s="73">
        <f>'Sales Forecast'!L26</f>
        <v>987.5</v>
      </c>
      <c r="K8" s="73">
        <f>'Sales Forecast'!M26</f>
        <v>987.5</v>
      </c>
      <c r="L8" s="73">
        <f>'Sales Forecast'!N26</f>
        <v>987.5</v>
      </c>
      <c r="M8" s="73">
        <f>'Sales Forecast'!O26</f>
        <v>987.5</v>
      </c>
      <c r="N8" s="67">
        <f>SUM(B8:M8)</f>
        <v>11850</v>
      </c>
      <c r="O8" s="49">
        <f>N8/N5</f>
        <v>0.21944444444444444</v>
      </c>
    </row>
    <row r="9" spans="1:21" s="76" customFormat="1" ht="15" thickTop="1" x14ac:dyDescent="0.2">
      <c r="A9" s="74" t="s">
        <v>6</v>
      </c>
      <c r="B9" s="110">
        <f>B5+B6+B7-B8</f>
        <v>3512.5</v>
      </c>
      <c r="C9" s="110">
        <f t="shared" ref="C9:N9" si="0">C5+C6+C7-C8</f>
        <v>3512.5</v>
      </c>
      <c r="D9" s="110">
        <f t="shared" si="0"/>
        <v>3512.5</v>
      </c>
      <c r="E9" s="110">
        <f t="shared" si="0"/>
        <v>3512.5</v>
      </c>
      <c r="F9" s="110">
        <f t="shared" si="0"/>
        <v>3512.5</v>
      </c>
      <c r="G9" s="110">
        <f t="shared" si="0"/>
        <v>3512.5</v>
      </c>
      <c r="H9" s="110">
        <f t="shared" si="0"/>
        <v>3512.5</v>
      </c>
      <c r="I9" s="110">
        <f t="shared" si="0"/>
        <v>3512.5</v>
      </c>
      <c r="J9" s="110">
        <f t="shared" si="0"/>
        <v>3512.5</v>
      </c>
      <c r="K9" s="110">
        <f t="shared" si="0"/>
        <v>3512.5</v>
      </c>
      <c r="L9" s="110">
        <f t="shared" si="0"/>
        <v>3512.5</v>
      </c>
      <c r="M9" s="110">
        <f t="shared" si="0"/>
        <v>3512.5</v>
      </c>
      <c r="N9" s="110">
        <f t="shared" si="0"/>
        <v>42150</v>
      </c>
      <c r="O9" s="75"/>
    </row>
    <row r="10" spans="1:21" ht="9" customHeight="1" x14ac:dyDescent="0.2">
      <c r="A10" s="1"/>
    </row>
    <row r="11" spans="1:21" s="32" customFormat="1" ht="18" x14ac:dyDescent="0.25">
      <c r="A11" s="41" t="s">
        <v>7</v>
      </c>
      <c r="B11" s="42" t="str">
        <f>VLOOKUP($R$1,Months,2)</f>
        <v>Sep</v>
      </c>
      <c r="C11" s="42" t="str">
        <f>VLOOKUP($R$1+1,Months,2)</f>
        <v>Oct</v>
      </c>
      <c r="D11" s="42" t="str">
        <f>VLOOKUP($R$1+2,Months,2)</f>
        <v>Nov</v>
      </c>
      <c r="E11" s="42" t="str">
        <f>VLOOKUP($R$1+3,Months,2)</f>
        <v>Dec</v>
      </c>
      <c r="F11" s="42" t="str">
        <f>VLOOKUP($R$1+4,Months,2)</f>
        <v>Jan</v>
      </c>
      <c r="G11" s="42" t="str">
        <f>VLOOKUP($R$1+5,Months,2)</f>
        <v>Feb</v>
      </c>
      <c r="H11" s="42" t="str">
        <f>VLOOKUP($R$1+6,Months,2)</f>
        <v>Mar</v>
      </c>
      <c r="I11" s="42" t="str">
        <f>VLOOKUP($R$1+7,Months,2)</f>
        <v>Apr</v>
      </c>
      <c r="J11" s="42" t="str">
        <f>VLOOKUP($R$1+8,Months,2)</f>
        <v>May</v>
      </c>
      <c r="K11" s="42" t="str">
        <f>VLOOKUP($R$1+9,Months,2)</f>
        <v>Jun</v>
      </c>
      <c r="L11" s="42" t="str">
        <f>VLOOKUP($R$1+10,Months,2)</f>
        <v>Jul</v>
      </c>
      <c r="M11" s="42" t="str">
        <f>VLOOKUP($R$1+11,Months,2)</f>
        <v>Aug</v>
      </c>
      <c r="N11" s="43" t="s">
        <v>4</v>
      </c>
      <c r="O11" s="44"/>
    </row>
    <row r="12" spans="1:21" s="30" customFormat="1" x14ac:dyDescent="0.2">
      <c r="A12" s="71" t="s">
        <v>103</v>
      </c>
      <c r="B12" s="108">
        <f>Advertising!B49</f>
        <v>0</v>
      </c>
      <c r="C12" s="108">
        <f>Advertising!C49</f>
        <v>0</v>
      </c>
      <c r="D12" s="108">
        <f>Advertising!D49</f>
        <v>0</v>
      </c>
      <c r="E12" s="108">
        <f>Advertising!E49</f>
        <v>0</v>
      </c>
      <c r="F12" s="108">
        <f>Advertising!F49</f>
        <v>0</v>
      </c>
      <c r="G12" s="108">
        <f>Advertising!G49</f>
        <v>0</v>
      </c>
      <c r="H12" s="108">
        <f>Advertising!H49</f>
        <v>0</v>
      </c>
      <c r="I12" s="108">
        <f>Advertising!I49</f>
        <v>0</v>
      </c>
      <c r="J12" s="108">
        <f>Advertising!J49</f>
        <v>0</v>
      </c>
      <c r="K12" s="108">
        <f>Advertising!K49</f>
        <v>0</v>
      </c>
      <c r="L12" s="108">
        <f>Advertising!L49</f>
        <v>0</v>
      </c>
      <c r="M12" s="108">
        <f>Advertising!M49</f>
        <v>0</v>
      </c>
      <c r="N12" s="108">
        <f t="shared" ref="N12:N27" si="1">SUM(B12:M12)</f>
        <v>0</v>
      </c>
      <c r="O12" s="49">
        <f>N12/$N$9</f>
        <v>0</v>
      </c>
    </row>
    <row r="13" spans="1:21" s="30" customFormat="1" x14ac:dyDescent="0.2">
      <c r="A13" s="111" t="s">
        <v>166</v>
      </c>
      <c r="B13" s="140">
        <v>200</v>
      </c>
      <c r="C13" s="140"/>
      <c r="D13" s="140"/>
      <c r="E13" s="140"/>
      <c r="F13" s="140">
        <v>500</v>
      </c>
      <c r="G13" s="140"/>
      <c r="H13" s="140"/>
      <c r="I13" s="140"/>
      <c r="J13" s="140"/>
      <c r="K13" s="140"/>
      <c r="L13" s="140"/>
      <c r="M13" s="140"/>
      <c r="N13" s="108">
        <f t="shared" si="1"/>
        <v>700</v>
      </c>
      <c r="O13" s="49">
        <f>N13/$N$9</f>
        <v>1.6607354685646499E-2</v>
      </c>
    </row>
    <row r="14" spans="1:21" s="30" customFormat="1" x14ac:dyDescent="0.2">
      <c r="A14" s="111" t="s">
        <v>104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08">
        <f t="shared" si="1"/>
        <v>0</v>
      </c>
      <c r="O14" s="49">
        <f>N14/$N$9</f>
        <v>0</v>
      </c>
    </row>
    <row r="15" spans="1:21" s="30" customFormat="1" x14ac:dyDescent="0.2">
      <c r="A15" s="111" t="s">
        <v>105</v>
      </c>
      <c r="B15" s="140">
        <v>35</v>
      </c>
      <c r="C15" s="140">
        <v>35</v>
      </c>
      <c r="D15" s="140">
        <v>35</v>
      </c>
      <c r="E15" s="140">
        <v>35</v>
      </c>
      <c r="F15" s="140">
        <v>35</v>
      </c>
      <c r="G15" s="140">
        <v>35</v>
      </c>
      <c r="H15" s="140">
        <v>35</v>
      </c>
      <c r="I15" s="140">
        <v>35</v>
      </c>
      <c r="J15" s="140">
        <v>35</v>
      </c>
      <c r="K15" s="140">
        <v>35</v>
      </c>
      <c r="L15" s="140">
        <v>35</v>
      </c>
      <c r="M15" s="140">
        <v>35</v>
      </c>
      <c r="N15" s="108">
        <f t="shared" si="1"/>
        <v>420</v>
      </c>
      <c r="O15" s="49">
        <f t="shared" ref="O15:O27" si="2">N15/$N$9</f>
        <v>9.9644128113879002E-3</v>
      </c>
    </row>
    <row r="16" spans="1:21" s="30" customFormat="1" x14ac:dyDescent="0.2">
      <c r="A16" s="111" t="s">
        <v>106</v>
      </c>
      <c r="B16" s="140">
        <v>101</v>
      </c>
      <c r="C16" s="140">
        <v>101</v>
      </c>
      <c r="D16" s="140">
        <v>101</v>
      </c>
      <c r="E16" s="140">
        <v>101</v>
      </c>
      <c r="F16" s="140">
        <v>101</v>
      </c>
      <c r="G16" s="140">
        <v>101</v>
      </c>
      <c r="H16" s="140">
        <v>101</v>
      </c>
      <c r="I16" s="140">
        <v>101</v>
      </c>
      <c r="J16" s="140">
        <v>101</v>
      </c>
      <c r="K16" s="140">
        <v>101</v>
      </c>
      <c r="L16" s="140">
        <v>101</v>
      </c>
      <c r="M16" s="140">
        <v>101</v>
      </c>
      <c r="N16" s="108">
        <f t="shared" si="1"/>
        <v>1212</v>
      </c>
      <c r="O16" s="49">
        <f t="shared" si="2"/>
        <v>2.8754448398576514E-2</v>
      </c>
      <c r="U16" s="30">
        <f>300*26</f>
        <v>7800</v>
      </c>
    </row>
    <row r="17" spans="1:18" s="30" customFormat="1" x14ac:dyDescent="0.2">
      <c r="A17" s="111" t="s">
        <v>107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08">
        <f t="shared" si="1"/>
        <v>0</v>
      </c>
      <c r="O17" s="49">
        <f t="shared" si="2"/>
        <v>0</v>
      </c>
    </row>
    <row r="18" spans="1:18" s="30" customFormat="1" x14ac:dyDescent="0.2">
      <c r="A18" s="111" t="s">
        <v>161</v>
      </c>
      <c r="B18" s="140"/>
      <c r="C18" s="140">
        <v>200</v>
      </c>
      <c r="D18" s="140"/>
      <c r="E18" s="140">
        <v>200</v>
      </c>
      <c r="F18" s="140"/>
      <c r="G18" s="140">
        <v>200</v>
      </c>
      <c r="H18" s="140"/>
      <c r="I18" s="140">
        <v>200</v>
      </c>
      <c r="J18" s="140"/>
      <c r="K18" s="140">
        <v>200</v>
      </c>
      <c r="L18" s="140"/>
      <c r="M18" s="140">
        <v>200</v>
      </c>
      <c r="N18" s="108">
        <f t="shared" si="1"/>
        <v>1200</v>
      </c>
      <c r="O18" s="49">
        <f t="shared" si="2"/>
        <v>2.8469750889679714E-2</v>
      </c>
    </row>
    <row r="19" spans="1:18" s="30" customFormat="1" ht="12" customHeight="1" x14ac:dyDescent="0.2">
      <c r="A19" s="112" t="s">
        <v>108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08">
        <f t="shared" si="1"/>
        <v>0</v>
      </c>
      <c r="O19" s="49">
        <f t="shared" si="2"/>
        <v>0</v>
      </c>
      <c r="R19" s="30" t="e">
        <f>N16+#REF!+N26+N22+#REF!+N20</f>
        <v>#REF!</v>
      </c>
    </row>
    <row r="20" spans="1:18" s="30" customFormat="1" x14ac:dyDescent="0.2">
      <c r="A20" s="111" t="s">
        <v>9</v>
      </c>
      <c r="B20" s="140">
        <v>76</v>
      </c>
      <c r="C20" s="140">
        <v>76</v>
      </c>
      <c r="D20" s="140">
        <v>76</v>
      </c>
      <c r="E20" s="140">
        <v>76</v>
      </c>
      <c r="F20" s="140">
        <v>76</v>
      </c>
      <c r="G20" s="140">
        <v>76</v>
      </c>
      <c r="H20" s="140">
        <v>76</v>
      </c>
      <c r="I20" s="140">
        <v>76</v>
      </c>
      <c r="J20" s="140">
        <v>76</v>
      </c>
      <c r="K20" s="140">
        <v>76</v>
      </c>
      <c r="L20" s="140">
        <v>76</v>
      </c>
      <c r="M20" s="140">
        <v>76</v>
      </c>
      <c r="N20" s="108">
        <f t="shared" si="1"/>
        <v>912</v>
      </c>
      <c r="O20" s="49">
        <f t="shared" si="2"/>
        <v>2.1637010676156584E-2</v>
      </c>
    </row>
    <row r="21" spans="1:18" s="30" customFormat="1" x14ac:dyDescent="0.2">
      <c r="A21" s="111" t="s">
        <v>110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08">
        <f t="shared" si="1"/>
        <v>0</v>
      </c>
      <c r="O21" s="49">
        <f t="shared" si="2"/>
        <v>0</v>
      </c>
    </row>
    <row r="22" spans="1:18" s="30" customFormat="1" x14ac:dyDescent="0.2">
      <c r="A22" s="111" t="s">
        <v>111</v>
      </c>
      <c r="B22" s="140">
        <v>210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08">
        <f t="shared" si="1"/>
        <v>210</v>
      </c>
      <c r="O22" s="49">
        <f t="shared" si="2"/>
        <v>4.9822064056939501E-3</v>
      </c>
    </row>
    <row r="23" spans="1:18" s="30" customFormat="1" x14ac:dyDescent="0.2">
      <c r="A23" s="112" t="s">
        <v>112</v>
      </c>
      <c r="B23" s="140"/>
      <c r="C23" s="140"/>
      <c r="D23" s="140">
        <v>50</v>
      </c>
      <c r="E23" s="140"/>
      <c r="F23" s="140"/>
      <c r="G23" s="140">
        <v>50</v>
      </c>
      <c r="H23" s="140"/>
      <c r="I23" s="140"/>
      <c r="J23" s="140"/>
      <c r="K23" s="140"/>
      <c r="L23" s="140">
        <v>50</v>
      </c>
      <c r="M23" s="140"/>
      <c r="N23" s="108">
        <f t="shared" si="1"/>
        <v>150</v>
      </c>
      <c r="O23" s="49">
        <f t="shared" si="2"/>
        <v>3.5587188612099642E-3</v>
      </c>
    </row>
    <row r="24" spans="1:18" s="30" customFormat="1" x14ac:dyDescent="0.2">
      <c r="A24" s="112" t="s">
        <v>10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08">
        <f t="shared" si="1"/>
        <v>0</v>
      </c>
      <c r="O24" s="49">
        <f t="shared" si="2"/>
        <v>0</v>
      </c>
    </row>
    <row r="25" spans="1:18" s="30" customFormat="1" x14ac:dyDescent="0.2">
      <c r="A25" s="112" t="s">
        <v>113</v>
      </c>
      <c r="B25" s="140">
        <v>40</v>
      </c>
      <c r="C25" s="140">
        <v>40</v>
      </c>
      <c r="D25" s="140">
        <v>40</v>
      </c>
      <c r="E25" s="140">
        <v>40</v>
      </c>
      <c r="F25" s="140">
        <v>40</v>
      </c>
      <c r="G25" s="140">
        <v>40</v>
      </c>
      <c r="H25" s="140">
        <v>40</v>
      </c>
      <c r="I25" s="140">
        <v>40</v>
      </c>
      <c r="J25" s="140">
        <v>40</v>
      </c>
      <c r="K25" s="140">
        <v>40</v>
      </c>
      <c r="L25" s="140">
        <v>40</v>
      </c>
      <c r="M25" s="140">
        <v>40</v>
      </c>
      <c r="N25" s="108">
        <f t="shared" si="1"/>
        <v>480</v>
      </c>
      <c r="O25" s="49">
        <f t="shared" si="2"/>
        <v>1.1387900355871887E-2</v>
      </c>
    </row>
    <row r="26" spans="1:18" s="30" customFormat="1" x14ac:dyDescent="0.2">
      <c r="A26" s="112" t="s">
        <v>114</v>
      </c>
      <c r="B26" s="140">
        <v>721</v>
      </c>
      <c r="C26" s="140">
        <v>721</v>
      </c>
      <c r="D26" s="140">
        <v>721</v>
      </c>
      <c r="E26" s="140">
        <v>721</v>
      </c>
      <c r="F26" s="140">
        <v>721</v>
      </c>
      <c r="G26" s="140">
        <v>721</v>
      </c>
      <c r="H26" s="140">
        <v>721</v>
      </c>
      <c r="I26" s="140">
        <v>721</v>
      </c>
      <c r="J26" s="140">
        <v>721</v>
      </c>
      <c r="K26" s="140">
        <v>721</v>
      </c>
      <c r="L26" s="140">
        <v>721</v>
      </c>
      <c r="M26" s="140">
        <v>721</v>
      </c>
      <c r="N26" s="108">
        <f t="shared" si="1"/>
        <v>8652</v>
      </c>
      <c r="O26" s="49">
        <f t="shared" si="2"/>
        <v>0.20526690391459074</v>
      </c>
    </row>
    <row r="27" spans="1:18" s="30" customFormat="1" x14ac:dyDescent="0.2">
      <c r="A27" s="112" t="s">
        <v>115</v>
      </c>
      <c r="B27" s="140">
        <f>500+8*21</f>
        <v>668</v>
      </c>
      <c r="C27" s="140">
        <f>750+8*21</f>
        <v>918</v>
      </c>
      <c r="D27" s="140">
        <f>1000+8*21</f>
        <v>1168</v>
      </c>
      <c r="E27" s="140">
        <f>1000+8*42</f>
        <v>1336</v>
      </c>
      <c r="F27" s="140">
        <f>1000+8*21</f>
        <v>1168</v>
      </c>
      <c r="G27" s="140">
        <f>1000+8*14</f>
        <v>1112</v>
      </c>
      <c r="H27" s="140">
        <f>750+8*21</f>
        <v>918</v>
      </c>
      <c r="I27" s="140">
        <v>750</v>
      </c>
      <c r="J27" s="140">
        <v>500</v>
      </c>
      <c r="K27" s="140">
        <v>500</v>
      </c>
      <c r="L27" s="140">
        <v>1000</v>
      </c>
      <c r="M27" s="140">
        <v>1000</v>
      </c>
      <c r="N27" s="108">
        <f t="shared" si="1"/>
        <v>11038</v>
      </c>
      <c r="O27" s="49">
        <f t="shared" si="2"/>
        <v>0.26187425860023728</v>
      </c>
    </row>
    <row r="28" spans="1:18" s="30" customFormat="1" x14ac:dyDescent="0.2">
      <c r="A28" s="71" t="s">
        <v>82</v>
      </c>
      <c r="B28" s="140">
        <f t="shared" ref="B28:M28" si="3">$N$28/12</f>
        <v>25</v>
      </c>
      <c r="C28" s="140">
        <f t="shared" si="3"/>
        <v>25</v>
      </c>
      <c r="D28" s="140">
        <f t="shared" si="3"/>
        <v>25</v>
      </c>
      <c r="E28" s="140">
        <f t="shared" si="3"/>
        <v>25</v>
      </c>
      <c r="F28" s="140">
        <f t="shared" si="3"/>
        <v>25</v>
      </c>
      <c r="G28" s="140">
        <f t="shared" si="3"/>
        <v>25</v>
      </c>
      <c r="H28" s="140">
        <f t="shared" si="3"/>
        <v>25</v>
      </c>
      <c r="I28" s="140">
        <f t="shared" si="3"/>
        <v>25</v>
      </c>
      <c r="J28" s="140">
        <f t="shared" si="3"/>
        <v>25</v>
      </c>
      <c r="K28" s="140">
        <f t="shared" si="3"/>
        <v>25</v>
      </c>
      <c r="L28" s="140">
        <f t="shared" si="3"/>
        <v>25</v>
      </c>
      <c r="M28" s="140">
        <f t="shared" si="3"/>
        <v>25</v>
      </c>
      <c r="N28" s="141">
        <v>300</v>
      </c>
      <c r="O28" s="49">
        <f>N28/$N$9</f>
        <v>7.1174377224199285E-3</v>
      </c>
    </row>
    <row r="29" spans="1:18" s="30" customFormat="1" x14ac:dyDescent="0.2">
      <c r="A29" s="71" t="s">
        <v>61</v>
      </c>
      <c r="B29" s="58"/>
      <c r="C29" s="58">
        <f>'Amor Schl 1'!E11+'Amor Schl 1'!F11</f>
        <v>250.46904057098214</v>
      </c>
      <c r="D29" s="58">
        <f>'Amor Schl 1'!E12+'Amor Schl 1'!F12</f>
        <v>246.66578614380646</v>
      </c>
      <c r="E29" s="58">
        <f>'Amor Schl 1'!E13+'Amor Schl 1'!F13</f>
        <v>242.8484850302797</v>
      </c>
      <c r="F29" s="58">
        <f>'Amor Schl 1'!E14+'Amor Schl 1'!F14</f>
        <v>239.017085351307</v>
      </c>
      <c r="G29" s="58">
        <f>'Amor Schl 1'!$E$15+'Amor Schl 1'!$F$15</f>
        <v>235.17153503618661</v>
      </c>
      <c r="H29" s="58">
        <f>'Amor Schl 1'!$E$16+'Amor Schl 1'!$F$16</f>
        <v>231.31178182190243</v>
      </c>
      <c r="I29" s="58">
        <f>'Amor Schl 1'!$E$17+'Amor Schl 1'!$F$17</f>
        <v>227.43777325241342</v>
      </c>
      <c r="J29" s="58">
        <f>'Amor Schl 1'!$E$18+'Amor Schl 1'!$F$18</f>
        <v>223.54945667794118</v>
      </c>
      <c r="K29" s="58">
        <f>'Amor Schl 1'!$E$19+'Amor Schl 1'!$F$19</f>
        <v>219.64677925425383</v>
      </c>
      <c r="L29" s="58">
        <f>'Amor Schl 1'!$E$20+'Amor Schl 1'!$F$20</f>
        <v>215.72968794194833</v>
      </c>
      <c r="M29" s="58">
        <f>'Amor Schl 1'!$E$21+'Amor Schl 1'!$F$21</f>
        <v>211.79812950572941</v>
      </c>
      <c r="N29" s="108">
        <f>SUM(B29:M29)</f>
        <v>2543.6455405867505</v>
      </c>
      <c r="O29" s="49">
        <f>N29/$N$9</f>
        <v>6.0347462410124564E-2</v>
      </c>
    </row>
    <row r="30" spans="1:18" s="30" customFormat="1" ht="13.5" thickBot="1" x14ac:dyDescent="0.25">
      <c r="A30" s="71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108"/>
      <c r="O30" s="49"/>
    </row>
    <row r="31" spans="1:18" s="76" customFormat="1" ht="15" thickTop="1" x14ac:dyDescent="0.2">
      <c r="A31" s="74" t="s">
        <v>11</v>
      </c>
      <c r="B31" s="110">
        <f>SUM(B12:B30)</f>
        <v>2076</v>
      </c>
      <c r="C31" s="110">
        <f>SUM(C12:C30)</f>
        <v>2366.4690405709821</v>
      </c>
      <c r="D31" s="110">
        <f>SUM(D12:D30)</f>
        <v>2462.6657861438066</v>
      </c>
      <c r="E31" s="110">
        <f>SUM(E12:E30)</f>
        <v>2776.8484850302798</v>
      </c>
      <c r="F31" s="110">
        <f>SUM(F12:F30)</f>
        <v>2905.0170853513068</v>
      </c>
      <c r="G31" s="110">
        <f>SUM(G12:G30)</f>
        <v>2595.1715350361865</v>
      </c>
      <c r="H31" s="110">
        <f>SUM(H12:H30)</f>
        <v>2147.3117818219025</v>
      </c>
      <c r="I31" s="110">
        <f>SUM(I12:I30)</f>
        <v>2175.4377732524135</v>
      </c>
      <c r="J31" s="110">
        <f>SUM(J12:J30)</f>
        <v>1721.5494566779412</v>
      </c>
      <c r="K31" s="110">
        <f>SUM(K12:K30)</f>
        <v>1917.6467792542539</v>
      </c>
      <c r="L31" s="110">
        <f>SUM(L12:L30)</f>
        <v>2263.7296879419482</v>
      </c>
      <c r="M31" s="110">
        <f>SUM(M12:M30)</f>
        <v>2409.7981295057293</v>
      </c>
      <c r="N31" s="110">
        <f>SUM(N12:N30)</f>
        <v>27817.645540586749</v>
      </c>
      <c r="O31" s="49">
        <f>N31/$N$9</f>
        <v>0.65996786573159549</v>
      </c>
    </row>
    <row r="32" spans="1:18" ht="6.75" customHeight="1" x14ac:dyDescent="0.2">
      <c r="A32" s="1"/>
    </row>
    <row r="33" spans="1:17" s="32" customFormat="1" ht="18" x14ac:dyDescent="0.25">
      <c r="A33" s="45" t="s">
        <v>12</v>
      </c>
      <c r="B33" s="42" t="str">
        <f>B4</f>
        <v>Sep</v>
      </c>
      <c r="C33" s="42" t="str">
        <f>C4</f>
        <v>Oct</v>
      </c>
      <c r="D33" s="42" t="str">
        <f>D4</f>
        <v>Nov</v>
      </c>
      <c r="E33" s="42" t="str">
        <f>E4</f>
        <v>Dec</v>
      </c>
      <c r="F33" s="42" t="str">
        <f>F4</f>
        <v>Jan</v>
      </c>
      <c r="G33" s="42" t="str">
        <f>G4</f>
        <v>Feb</v>
      </c>
      <c r="H33" s="42" t="str">
        <f>H4</f>
        <v>Mar</v>
      </c>
      <c r="I33" s="42" t="str">
        <f>I4</f>
        <v>Apr</v>
      </c>
      <c r="J33" s="42" t="str">
        <f>J4</f>
        <v>May</v>
      </c>
      <c r="K33" s="42" t="str">
        <f>K4</f>
        <v>Jun</v>
      </c>
      <c r="L33" s="42" t="str">
        <f>L4</f>
        <v>Jul</v>
      </c>
      <c r="M33" s="42" t="str">
        <f>M4</f>
        <v>Aug</v>
      </c>
      <c r="N33" s="43" t="s">
        <v>4</v>
      </c>
      <c r="O33" s="44"/>
    </row>
    <row r="34" spans="1:17" s="30" customFormat="1" x14ac:dyDescent="0.2">
      <c r="A34" s="71" t="s">
        <v>13</v>
      </c>
      <c r="B34" s="108">
        <f>'Use &amp; Source'!C33</f>
        <v>5000</v>
      </c>
      <c r="C34" s="108">
        <f>B44</f>
        <v>19376.5</v>
      </c>
      <c r="D34" s="108">
        <f t="shared" ref="D34:M34" si="4">C44</f>
        <v>17432.768930410326</v>
      </c>
      <c r="E34" s="108">
        <f t="shared" si="4"/>
        <v>15389.037860820652</v>
      </c>
      <c r="F34" s="108">
        <f t="shared" si="4"/>
        <v>13027.306791230978</v>
      </c>
      <c r="G34" s="108">
        <f t="shared" si="4"/>
        <v>10533.575721641304</v>
      </c>
      <c r="H34" s="108">
        <f t="shared" si="4"/>
        <v>8345.84465205163</v>
      </c>
      <c r="I34" s="108">
        <f t="shared" si="4"/>
        <v>6602.113582461956</v>
      </c>
      <c r="J34" s="108">
        <f t="shared" si="4"/>
        <v>4826.3825128722819</v>
      </c>
      <c r="K34" s="108">
        <f t="shared" si="4"/>
        <v>1500.6514432826079</v>
      </c>
      <c r="L34" s="108">
        <f t="shared" si="4"/>
        <v>-25.079626307066064</v>
      </c>
      <c r="M34" s="108">
        <f t="shared" si="4"/>
        <v>-3400.8106958967401</v>
      </c>
      <c r="N34" s="50"/>
      <c r="O34" s="40"/>
    </row>
    <row r="35" spans="1:17" s="30" customFormat="1" x14ac:dyDescent="0.2">
      <c r="A35" s="71" t="s">
        <v>152</v>
      </c>
      <c r="B35" s="58">
        <f>B9-B31</f>
        <v>1436.5</v>
      </c>
      <c r="C35" s="58">
        <f>C9-C31</f>
        <v>1146.0309594290179</v>
      </c>
      <c r="D35" s="58">
        <f>D9-D31</f>
        <v>1049.8342138561934</v>
      </c>
      <c r="E35" s="58">
        <f>E9-E31</f>
        <v>735.65151496972021</v>
      </c>
      <c r="F35" s="58">
        <f>F9-F31</f>
        <v>607.48291464869317</v>
      </c>
      <c r="G35" s="58">
        <f>G9-G31</f>
        <v>917.32846496381353</v>
      </c>
      <c r="H35" s="58">
        <f>H9-H31</f>
        <v>1365.1882181780975</v>
      </c>
      <c r="I35" s="58">
        <f>I9-I31</f>
        <v>1337.0622267475865</v>
      </c>
      <c r="J35" s="58">
        <f>J9-J31</f>
        <v>1790.9505433220588</v>
      </c>
      <c r="K35" s="58">
        <f>K9-K31</f>
        <v>1594.8532207457461</v>
      </c>
      <c r="L35" s="58">
        <f>L9-L31</f>
        <v>1248.7703120580518</v>
      </c>
      <c r="M35" s="58">
        <f>M9-M31</f>
        <v>1102.7018704942707</v>
      </c>
      <c r="N35" s="58">
        <f>SUM(B35:M35)</f>
        <v>14332.354459413251</v>
      </c>
      <c r="O35" s="40"/>
    </row>
    <row r="36" spans="1:17" s="30" customFormat="1" x14ac:dyDescent="0.2">
      <c r="A36" s="72" t="s">
        <v>62</v>
      </c>
      <c r="B36" s="78">
        <f>'Use &amp; Source'!C29+'Use &amp; Source'!C31</f>
        <v>68500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7">
        <f t="shared" ref="N36:N43" si="5">SUM(B36:M36)</f>
        <v>68500</v>
      </c>
      <c r="O36" s="57"/>
      <c r="Q36" s="49"/>
    </row>
    <row r="37" spans="1:17" s="30" customFormat="1" x14ac:dyDescent="0.2">
      <c r="A37" s="72" t="s">
        <v>159</v>
      </c>
      <c r="B37" s="78">
        <f>'Use &amp; Source'!C30</f>
        <v>10000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7">
        <f t="shared" si="5"/>
        <v>10000</v>
      </c>
      <c r="O37" s="57"/>
      <c r="Q37" s="49"/>
    </row>
    <row r="38" spans="1:17" s="30" customFormat="1" x14ac:dyDescent="0.2">
      <c r="A38" s="72" t="s">
        <v>64</v>
      </c>
      <c r="B38" s="78">
        <f t="shared" ref="B38:M38" si="6">B28</f>
        <v>25</v>
      </c>
      <c r="C38" s="78">
        <f t="shared" si="6"/>
        <v>25</v>
      </c>
      <c r="D38" s="78">
        <f t="shared" si="6"/>
        <v>25</v>
      </c>
      <c r="E38" s="78">
        <f t="shared" si="6"/>
        <v>25</v>
      </c>
      <c r="F38" s="78">
        <f t="shared" si="6"/>
        <v>25</v>
      </c>
      <c r="G38" s="78">
        <f t="shared" si="6"/>
        <v>25</v>
      </c>
      <c r="H38" s="78">
        <f t="shared" si="6"/>
        <v>25</v>
      </c>
      <c r="I38" s="78">
        <f t="shared" si="6"/>
        <v>25</v>
      </c>
      <c r="J38" s="78">
        <f t="shared" si="6"/>
        <v>25</v>
      </c>
      <c r="K38" s="78">
        <f t="shared" si="6"/>
        <v>25</v>
      </c>
      <c r="L38" s="78">
        <f t="shared" si="6"/>
        <v>25</v>
      </c>
      <c r="M38" s="78">
        <f t="shared" si="6"/>
        <v>25</v>
      </c>
      <c r="N38" s="77">
        <f t="shared" si="5"/>
        <v>300</v>
      </c>
      <c r="O38" s="40"/>
    </row>
    <row r="39" spans="1:17" s="30" customFormat="1" x14ac:dyDescent="0.2">
      <c r="A39" s="72" t="s">
        <v>157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7">
        <f>SUM(B39:M39)</f>
        <v>0</v>
      </c>
      <c r="O39" s="40"/>
    </row>
    <row r="40" spans="1:17" s="30" customFormat="1" x14ac:dyDescent="0.2">
      <c r="A40" s="72" t="s">
        <v>126</v>
      </c>
      <c r="B40" s="78"/>
      <c r="C40" s="78">
        <f>'Amor Schl 1'!D11</f>
        <v>1029.7620290186919</v>
      </c>
      <c r="D40" s="78">
        <f>'Amor Schl 1'!D12</f>
        <v>1033.5652834458676</v>
      </c>
      <c r="E40" s="78">
        <f>'Amor Schl 1'!D13</f>
        <v>1037.3825845593944</v>
      </c>
      <c r="F40" s="78">
        <f>'Amor Schl 1'!D14</f>
        <v>1041.2139842383669</v>
      </c>
      <c r="G40" s="78">
        <f>'Amor Schl 1'!D15</f>
        <v>1045.0595345534873</v>
      </c>
      <c r="H40" s="78">
        <f>'Amor Schl 1'!D16</f>
        <v>1048.9192877677715</v>
      </c>
      <c r="I40" s="78">
        <f>'Amor Schl 1'!D17</f>
        <v>1052.7932963372605</v>
      </c>
      <c r="J40" s="78">
        <f>'Amor Schl 1'!D18</f>
        <v>1056.6816129117326</v>
      </c>
      <c r="K40" s="78">
        <f>'Amor Schl 1'!$D$19</f>
        <v>1060.5842903354203</v>
      </c>
      <c r="L40" s="78">
        <f>'Amor Schl 1'!$D$20</f>
        <v>1064.5013816477256</v>
      </c>
      <c r="M40" s="78">
        <f>'Amor Schl 1'!$D$21</f>
        <v>1068.4329400839445</v>
      </c>
      <c r="N40" s="77">
        <f t="shared" si="5"/>
        <v>11538.896224899665</v>
      </c>
      <c r="O40" s="57"/>
      <c r="Q40" s="49"/>
    </row>
    <row r="41" spans="1:17" s="30" customFormat="1" x14ac:dyDescent="0.2">
      <c r="A41" s="72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7"/>
      <c r="O41" s="57"/>
      <c r="Q41" s="49"/>
    </row>
    <row r="42" spans="1:17" s="30" customFormat="1" x14ac:dyDescent="0.2">
      <c r="A42" s="72" t="s">
        <v>63</v>
      </c>
      <c r="B42" s="78">
        <f>'Owner''s Drawings'!$B$19</f>
        <v>2085</v>
      </c>
      <c r="C42" s="78">
        <f>'Owner''s Drawings'!$B$19</f>
        <v>2085</v>
      </c>
      <c r="D42" s="78">
        <f>'Owner''s Drawings'!$B$19</f>
        <v>2085</v>
      </c>
      <c r="E42" s="78">
        <f>'Owner''s Drawings'!$B$19</f>
        <v>2085</v>
      </c>
      <c r="F42" s="78">
        <f>'Owner''s Drawings'!$B$19</f>
        <v>2085</v>
      </c>
      <c r="G42" s="78">
        <f>'Owner''s Drawings'!$B$19</f>
        <v>2085</v>
      </c>
      <c r="H42" s="78">
        <f>'Owner''s Drawings'!$B$19</f>
        <v>2085</v>
      </c>
      <c r="I42" s="78">
        <f>'Owner''s Drawings'!$B$19</f>
        <v>2085</v>
      </c>
      <c r="J42" s="78">
        <f>'Owner''s Drawings'!$B$19+'Owner''s Drawings'!B23</f>
        <v>4085</v>
      </c>
      <c r="K42" s="78">
        <f>'Owner''s Drawings'!$B$19</f>
        <v>2085</v>
      </c>
      <c r="L42" s="78">
        <f>'Owner''s Drawings'!$B$19+'Owner''s Drawings'!B25</f>
        <v>3585</v>
      </c>
      <c r="M42" s="78">
        <f>'Owner''s Drawings'!$B$19</f>
        <v>2085</v>
      </c>
      <c r="N42" s="77">
        <f t="shared" si="5"/>
        <v>28520</v>
      </c>
      <c r="O42" s="57"/>
    </row>
    <row r="43" spans="1:17" s="30" customFormat="1" ht="13.5" thickBot="1" x14ac:dyDescent="0.25">
      <c r="A43" s="72" t="s">
        <v>65</v>
      </c>
      <c r="B43" s="78">
        <f>'Use &amp; Source'!D6+'Use &amp; Source'!D7+'Use &amp; Source'!D8</f>
        <v>63500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7">
        <f t="shared" si="5"/>
        <v>63500</v>
      </c>
      <c r="O43" s="57"/>
    </row>
    <row r="44" spans="1:17" s="31" customFormat="1" ht="16.5" thickTop="1" x14ac:dyDescent="0.25">
      <c r="A44" s="79" t="s">
        <v>14</v>
      </c>
      <c r="B44" s="80">
        <f>B34+B35+B36+B37+B38+B39-B40-B41-B42-B43</f>
        <v>19376.5</v>
      </c>
      <c r="C44" s="80">
        <f t="shared" ref="C44:M44" si="7">C34+C35+C36+C37+C38+C39-C40-C41-C42-C43</f>
        <v>17432.768930410326</v>
      </c>
      <c r="D44" s="80">
        <f t="shared" si="7"/>
        <v>15389.037860820652</v>
      </c>
      <c r="E44" s="80">
        <f t="shared" si="7"/>
        <v>13027.306791230978</v>
      </c>
      <c r="F44" s="80">
        <f t="shared" si="7"/>
        <v>10533.575721641304</v>
      </c>
      <c r="G44" s="80">
        <f t="shared" si="7"/>
        <v>8345.84465205163</v>
      </c>
      <c r="H44" s="80">
        <f t="shared" si="7"/>
        <v>6602.113582461956</v>
      </c>
      <c r="I44" s="80">
        <f t="shared" si="7"/>
        <v>4826.3825128722819</v>
      </c>
      <c r="J44" s="80">
        <f t="shared" si="7"/>
        <v>1500.6514432826079</v>
      </c>
      <c r="K44" s="80">
        <f t="shared" si="7"/>
        <v>-25.079626307066064</v>
      </c>
      <c r="L44" s="80">
        <f t="shared" si="7"/>
        <v>-3400.8106958967401</v>
      </c>
      <c r="M44" s="80">
        <f t="shared" si="7"/>
        <v>-5426.5417654864141</v>
      </c>
      <c r="N44" s="80"/>
      <c r="O44" s="81"/>
    </row>
    <row r="45" spans="1:17" ht="19.5" x14ac:dyDescent="0.35">
      <c r="A45" s="157" t="s">
        <v>177</v>
      </c>
      <c r="B45" s="164"/>
      <c r="C45" s="164"/>
      <c r="D45" s="4"/>
      <c r="E45" s="4"/>
      <c r="F45" s="4"/>
      <c r="G45" s="4"/>
      <c r="H45" s="4"/>
      <c r="I45" s="4"/>
      <c r="J45" s="4"/>
      <c r="K45" s="4"/>
      <c r="L45" s="4"/>
      <c r="M45" s="4"/>
      <c r="N45" s="12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</sheetData>
  <mergeCells count="1">
    <mergeCell ref="A2:O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62" orientation="landscape" horizontalDpi="300" verticalDpi="300" r:id="rId1"/>
  <headerFooter alignWithMargins="0">
    <oddFooter>&amp;Lprepared with assistance, Aboriginal Business Development Centre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zoomScaleNormal="100" workbookViewId="0">
      <selection activeCell="A36" sqref="A36"/>
    </sheetView>
  </sheetViews>
  <sheetFormatPr defaultColWidth="17.140625" defaultRowHeight="12.75" x14ac:dyDescent="0.2"/>
  <cols>
    <col min="1" max="1" width="18" style="7" bestFit="1" customWidth="1"/>
    <col min="2" max="2" width="35.7109375" style="7" bestFit="1" customWidth="1"/>
    <col min="3" max="3" width="10.28515625" style="7" bestFit="1" customWidth="1"/>
    <col min="4" max="4" width="16" style="7" bestFit="1" customWidth="1"/>
    <col min="5" max="16384" width="17.140625" style="7"/>
  </cols>
  <sheetData>
    <row r="1" spans="1:4" ht="22.5" x14ac:dyDescent="0.3">
      <c r="A1" s="10" t="s">
        <v>18</v>
      </c>
      <c r="B1" s="8"/>
      <c r="C1" s="8"/>
    </row>
    <row r="2" spans="1:4" ht="18.75" x14ac:dyDescent="0.3">
      <c r="A2" s="9"/>
      <c r="B2" s="8"/>
      <c r="C2" s="8"/>
    </row>
    <row r="3" spans="1:4" ht="18.75" x14ac:dyDescent="0.3">
      <c r="A3" s="9" t="s">
        <v>19</v>
      </c>
      <c r="B3" s="8"/>
      <c r="C3" s="8"/>
    </row>
    <row r="4" spans="1:4" s="30" customFormat="1" x14ac:dyDescent="0.2">
      <c r="A4" s="47"/>
      <c r="B4" s="46"/>
      <c r="C4" s="46" t="s">
        <v>76</v>
      </c>
      <c r="D4" s="48" t="s">
        <v>77</v>
      </c>
    </row>
    <row r="5" spans="1:4" s="30" customFormat="1" x14ac:dyDescent="0.2">
      <c r="B5" s="51" t="s">
        <v>156</v>
      </c>
      <c r="C5" s="108"/>
      <c r="D5" s="120"/>
    </row>
    <row r="6" spans="1:4" s="30" customFormat="1" x14ac:dyDescent="0.2">
      <c r="B6" s="50" t="s">
        <v>163</v>
      </c>
      <c r="C6" s="141">
        <v>6500</v>
      </c>
      <c r="D6" s="143">
        <v>43500</v>
      </c>
    </row>
    <row r="7" spans="1:4" s="30" customFormat="1" x14ac:dyDescent="0.2">
      <c r="B7" s="50" t="s">
        <v>151</v>
      </c>
      <c r="C7" s="141"/>
      <c r="D7" s="143">
        <v>5000</v>
      </c>
    </row>
    <row r="8" spans="1:4" s="30" customFormat="1" x14ac:dyDescent="0.2">
      <c r="B8" s="50" t="s">
        <v>167</v>
      </c>
      <c r="C8" s="141"/>
      <c r="D8" s="143">
        <v>15000</v>
      </c>
    </row>
    <row r="9" spans="1:4" s="30" customFormat="1" x14ac:dyDescent="0.2">
      <c r="B9" s="50"/>
      <c r="C9" s="141"/>
      <c r="D9" s="143"/>
    </row>
    <row r="10" spans="1:4" s="30" customFormat="1" x14ac:dyDescent="0.2">
      <c r="B10" s="50" t="s">
        <v>160</v>
      </c>
      <c r="C10" s="141"/>
      <c r="D10" s="143">
        <v>15000</v>
      </c>
    </row>
    <row r="11" spans="1:4" s="30" customFormat="1" x14ac:dyDescent="0.2">
      <c r="B11" s="50"/>
      <c r="C11" s="141"/>
      <c r="D11" s="143"/>
    </row>
    <row r="12" spans="1:4" s="30" customFormat="1" x14ac:dyDescent="0.2">
      <c r="B12" s="50"/>
      <c r="C12" s="141"/>
      <c r="D12" s="143"/>
    </row>
    <row r="13" spans="1:4" s="30" customFormat="1" x14ac:dyDescent="0.2">
      <c r="B13" s="50" t="s">
        <v>150</v>
      </c>
      <c r="C13" s="141"/>
      <c r="D13" s="143"/>
    </row>
    <row r="14" spans="1:4" s="30" customFormat="1" x14ac:dyDescent="0.2">
      <c r="B14" s="50"/>
      <c r="C14" s="141"/>
      <c r="D14" s="143"/>
    </row>
    <row r="15" spans="1:4" s="30" customFormat="1" x14ac:dyDescent="0.2">
      <c r="B15" s="50"/>
      <c r="C15" s="141"/>
      <c r="D15" s="143"/>
    </row>
    <row r="16" spans="1:4" s="30" customFormat="1" x14ac:dyDescent="0.2">
      <c r="B16" s="50"/>
      <c r="C16" s="141"/>
      <c r="D16" s="143"/>
    </row>
    <row r="17" spans="1:4" s="30" customFormat="1" x14ac:dyDescent="0.2">
      <c r="B17" s="50"/>
      <c r="C17" s="141"/>
      <c r="D17" s="143"/>
    </row>
    <row r="18" spans="1:4" s="30" customFormat="1" x14ac:dyDescent="0.2">
      <c r="B18" s="50"/>
      <c r="C18" s="141"/>
      <c r="D18" s="143"/>
    </row>
    <row r="19" spans="1:4" s="30" customFormat="1" x14ac:dyDescent="0.2">
      <c r="B19" s="50"/>
      <c r="C19" s="141"/>
      <c r="D19" s="143"/>
    </row>
    <row r="20" spans="1:4" s="30" customFormat="1" x14ac:dyDescent="0.2">
      <c r="B20" s="50"/>
      <c r="C20" s="141"/>
      <c r="D20" s="141"/>
    </row>
    <row r="21" spans="1:4" s="30" customFormat="1" x14ac:dyDescent="0.2">
      <c r="B21" s="50"/>
      <c r="C21" s="141"/>
      <c r="D21" s="141"/>
    </row>
    <row r="22" spans="1:4" s="30" customFormat="1" x14ac:dyDescent="0.2">
      <c r="B22" s="50"/>
      <c r="C22" s="141"/>
      <c r="D22" s="141"/>
    </row>
    <row r="23" spans="1:4" s="30" customFormat="1" x14ac:dyDescent="0.2">
      <c r="B23" s="50"/>
      <c r="C23" s="141"/>
      <c r="D23" s="141"/>
    </row>
    <row r="24" spans="1:4" s="30" customFormat="1" x14ac:dyDescent="0.2">
      <c r="B24" s="50" t="s">
        <v>92</v>
      </c>
      <c r="C24" s="141">
        <v>5000</v>
      </c>
      <c r="D24" s="141"/>
    </row>
    <row r="25" spans="1:4" s="30" customFormat="1" x14ac:dyDescent="0.2">
      <c r="B25" s="50" t="s">
        <v>83</v>
      </c>
      <c r="C25" s="141"/>
      <c r="D25" s="141">
        <v>0</v>
      </c>
    </row>
    <row r="26" spans="1:4" s="30" customFormat="1" ht="13.5" thickBot="1" x14ac:dyDescent="0.25">
      <c r="A26" s="55"/>
      <c r="B26" s="51" t="s">
        <v>78</v>
      </c>
      <c r="C26" s="109">
        <f>SUM(C5:C25)</f>
        <v>11500</v>
      </c>
      <c r="D26" s="109">
        <f>SUM(D5:D25)</f>
        <v>78500</v>
      </c>
    </row>
    <row r="27" spans="1:4" s="30" customFormat="1" ht="13.5" thickTop="1" x14ac:dyDescent="0.2"/>
    <row r="28" spans="1:4" s="30" customFormat="1" x14ac:dyDescent="0.2">
      <c r="A28" s="47" t="s">
        <v>20</v>
      </c>
      <c r="B28" s="46"/>
      <c r="C28" s="46"/>
    </row>
    <row r="29" spans="1:4" s="30" customFormat="1" x14ac:dyDescent="0.2">
      <c r="B29" s="50" t="s">
        <v>169</v>
      </c>
      <c r="C29" s="141">
        <v>40000</v>
      </c>
      <c r="D29" s="49">
        <f>C29/$C$35</f>
        <v>0.44444444444444442</v>
      </c>
    </row>
    <row r="30" spans="1:4" s="30" customFormat="1" x14ac:dyDescent="0.2">
      <c r="B30" s="50" t="s">
        <v>168</v>
      </c>
      <c r="C30" s="141">
        <v>10000</v>
      </c>
      <c r="D30" s="49">
        <f>C30/$C$35</f>
        <v>0.1111111111111111</v>
      </c>
    </row>
    <row r="31" spans="1:4" s="30" customFormat="1" x14ac:dyDescent="0.2">
      <c r="B31" s="50" t="s">
        <v>158</v>
      </c>
      <c r="C31" s="144">
        <v>28500</v>
      </c>
      <c r="D31" s="49">
        <f>C31/$C$35</f>
        <v>0.31666666666666665</v>
      </c>
    </row>
    <row r="32" spans="1:4" s="30" customFormat="1" x14ac:dyDescent="0.2">
      <c r="B32" s="51" t="s">
        <v>154</v>
      </c>
      <c r="C32" s="145"/>
      <c r="D32" s="49"/>
    </row>
    <row r="33" spans="1:4" s="30" customFormat="1" x14ac:dyDescent="0.2">
      <c r="B33" s="54" t="s">
        <v>92</v>
      </c>
      <c r="C33" s="144">
        <f>C24+C25</f>
        <v>5000</v>
      </c>
      <c r="D33" s="49">
        <f>C33/$C$35</f>
        <v>5.5555555555555552E-2</v>
      </c>
    </row>
    <row r="34" spans="1:4" s="30" customFormat="1" x14ac:dyDescent="0.2">
      <c r="B34" s="50" t="s">
        <v>93</v>
      </c>
      <c r="C34" s="144">
        <f>C26-C25-C24</f>
        <v>6500</v>
      </c>
      <c r="D34" s="49">
        <f>C34/$C$35</f>
        <v>7.2222222222222215E-2</v>
      </c>
    </row>
    <row r="35" spans="1:4" s="30" customFormat="1" ht="13.5" thickBot="1" x14ac:dyDescent="0.25">
      <c r="A35" s="52"/>
      <c r="B35" s="53" t="s">
        <v>79</v>
      </c>
      <c r="C35" s="56">
        <f>SUM(C29:C34)</f>
        <v>90000</v>
      </c>
      <c r="D35" s="66">
        <f>SUM(D29:D34)</f>
        <v>1</v>
      </c>
    </row>
    <row r="36" spans="1:4" s="30" customFormat="1" ht="19.5" x14ac:dyDescent="0.35">
      <c r="A36" s="157" t="s">
        <v>177</v>
      </c>
      <c r="B36" s="163"/>
    </row>
  </sheetData>
  <phoneticPr fontId="0" type="noConversion"/>
  <printOptions horizontalCentered="1"/>
  <pageMargins left="0.19685039370078741" right="0.19685039370078741" top="0.19685039370078741" bottom="0.19685039370078741" header="0" footer="0"/>
  <pageSetup orientation="portrait" horizontalDpi="300" verticalDpi="300" r:id="rId1"/>
  <headerFooter alignWithMargins="0">
    <oddFooter>&amp;LPrepared with assistance, Aboriginal Business Development Centre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1" zoomScaleNormal="100" workbookViewId="0">
      <selection activeCell="A50" sqref="A50"/>
    </sheetView>
  </sheetViews>
  <sheetFormatPr defaultColWidth="38.140625" defaultRowHeight="12.75" x14ac:dyDescent="0.2"/>
  <cols>
    <col min="1" max="1" width="29.42578125" bestFit="1" customWidth="1"/>
    <col min="2" max="2" width="6.28515625" bestFit="1" customWidth="1"/>
    <col min="3" max="3" width="5.28515625" bestFit="1" customWidth="1"/>
    <col min="4" max="4" width="6.5703125" bestFit="1" customWidth="1"/>
    <col min="5" max="5" width="6.42578125" bestFit="1" customWidth="1"/>
    <col min="6" max="6" width="5.85546875" bestFit="1" customWidth="1"/>
    <col min="7" max="8" width="6.42578125" bestFit="1" customWidth="1"/>
    <col min="9" max="9" width="6.140625" bestFit="1" customWidth="1"/>
    <col min="10" max="10" width="6.28515625" bestFit="1" customWidth="1"/>
    <col min="11" max="11" width="6.42578125" bestFit="1" customWidth="1"/>
    <col min="12" max="12" width="6" bestFit="1" customWidth="1"/>
    <col min="13" max="13" width="6.85546875" bestFit="1" customWidth="1"/>
    <col min="14" max="14" width="8" bestFit="1" customWidth="1"/>
  </cols>
  <sheetData>
    <row r="1" spans="1:14" ht="15.75" x14ac:dyDescent="0.25">
      <c r="A1" s="124" t="s">
        <v>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4" x14ac:dyDescent="0.2">
      <c r="A3" s="60" t="s">
        <v>86</v>
      </c>
    </row>
    <row r="4" spans="1:14" s="6" customFormat="1" ht="19.5" x14ac:dyDescent="0.35">
      <c r="A4" s="62" t="s">
        <v>15</v>
      </c>
      <c r="B4" s="62" t="str">
        <f>cashflow!B4</f>
        <v>Sep</v>
      </c>
      <c r="C4" s="62" t="str">
        <f>cashflow!C4</f>
        <v>Oct</v>
      </c>
      <c r="D4" s="62" t="str">
        <f>cashflow!D4</f>
        <v>Nov</v>
      </c>
      <c r="E4" s="62" t="str">
        <f>cashflow!E4</f>
        <v>Dec</v>
      </c>
      <c r="F4" s="62" t="str">
        <f>cashflow!F4</f>
        <v>Jan</v>
      </c>
      <c r="G4" s="62" t="str">
        <f>cashflow!G4</f>
        <v>Feb</v>
      </c>
      <c r="H4" s="62" t="str">
        <f>cashflow!H4</f>
        <v>Mar</v>
      </c>
      <c r="I4" s="62" t="str">
        <f>cashflow!I4</f>
        <v>Apr</v>
      </c>
      <c r="J4" s="62" t="str">
        <f>cashflow!J4</f>
        <v>May</v>
      </c>
      <c r="K4" s="62" t="str">
        <f>cashflow!K4</f>
        <v>Jun</v>
      </c>
      <c r="L4" s="62" t="str">
        <f>cashflow!L4</f>
        <v>Jul</v>
      </c>
      <c r="M4" s="62" t="str">
        <f>cashflow!M4</f>
        <v>Aug</v>
      </c>
      <c r="N4" s="62" t="s">
        <v>87</v>
      </c>
    </row>
    <row r="5" spans="1:14" ht="15.75" x14ac:dyDescent="0.25">
      <c r="A5" s="98" t="s">
        <v>88</v>
      </c>
    </row>
    <row r="6" spans="1:14" x14ac:dyDescent="0.2">
      <c r="A6" s="59" t="s">
        <v>129</v>
      </c>
      <c r="B6" s="146">
        <v>0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46">
        <v>0</v>
      </c>
      <c r="M6" s="146">
        <v>0</v>
      </c>
      <c r="N6" s="99">
        <f>SUM(B6:M6)</f>
        <v>0</v>
      </c>
    </row>
    <row r="7" spans="1:14" x14ac:dyDescent="0.2">
      <c r="A7" s="59" t="s">
        <v>130</v>
      </c>
      <c r="B7" s="147">
        <v>0</v>
      </c>
      <c r="C7" s="147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59">
        <f t="shared" ref="N7:N48" si="0">SUM(B7:M7)</f>
        <v>0</v>
      </c>
    </row>
    <row r="8" spans="1:14" x14ac:dyDescent="0.2">
      <c r="A8" s="59" t="s">
        <v>97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0</v>
      </c>
      <c r="H8" s="147"/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59">
        <f t="shared" si="0"/>
        <v>0</v>
      </c>
    </row>
    <row r="9" spans="1:14" x14ac:dyDescent="0.2">
      <c r="A9" s="59"/>
      <c r="B9" s="147">
        <v>0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59">
        <f t="shared" si="0"/>
        <v>0</v>
      </c>
    </row>
    <row r="10" spans="1:14" x14ac:dyDescent="0.2">
      <c r="A10" s="59"/>
      <c r="B10" s="147">
        <v>0</v>
      </c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59">
        <f t="shared" si="0"/>
        <v>0</v>
      </c>
    </row>
    <row r="11" spans="1:14" x14ac:dyDescent="0.2">
      <c r="A11" s="59"/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f t="shared" si="0"/>
        <v>0</v>
      </c>
    </row>
    <row r="12" spans="1:14" ht="15.75" x14ac:dyDescent="0.25">
      <c r="A12" s="98" t="s">
        <v>89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4" x14ac:dyDescent="0.2">
      <c r="A13" s="59" t="s">
        <v>131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99">
        <f t="shared" si="0"/>
        <v>0</v>
      </c>
    </row>
    <row r="14" spans="1:14" x14ac:dyDescent="0.2">
      <c r="A14" s="59" t="s">
        <v>132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59">
        <f t="shared" si="0"/>
        <v>0</v>
      </c>
    </row>
    <row r="15" spans="1:14" x14ac:dyDescent="0.2">
      <c r="A15" s="59" t="s">
        <v>133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59">
        <f t="shared" si="0"/>
        <v>0</v>
      </c>
    </row>
    <row r="16" spans="1:14" x14ac:dyDescent="0.2">
      <c r="A16" s="59" t="s">
        <v>134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59">
        <f t="shared" si="0"/>
        <v>0</v>
      </c>
    </row>
    <row r="17" spans="1:14" x14ac:dyDescent="0.2">
      <c r="A17" s="59" t="s">
        <v>135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59">
        <f t="shared" si="0"/>
        <v>0</v>
      </c>
    </row>
    <row r="18" spans="1:14" x14ac:dyDescent="0.2">
      <c r="A18" s="59" t="s">
        <v>136</v>
      </c>
      <c r="B18" s="147">
        <v>0</v>
      </c>
      <c r="C18" s="147">
        <v>0</v>
      </c>
      <c r="D18" s="147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59">
        <f t="shared" si="0"/>
        <v>0</v>
      </c>
    </row>
    <row r="19" spans="1:14" x14ac:dyDescent="0.2">
      <c r="A19" s="59" t="s">
        <v>137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59">
        <f t="shared" si="0"/>
        <v>0</v>
      </c>
    </row>
    <row r="20" spans="1:14" x14ac:dyDescent="0.2">
      <c r="A20" s="59" t="s">
        <v>98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59">
        <f t="shared" si="0"/>
        <v>0</v>
      </c>
    </row>
    <row r="21" spans="1:14" x14ac:dyDescent="0.2">
      <c r="A21" s="59"/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59">
        <f t="shared" si="0"/>
        <v>0</v>
      </c>
    </row>
    <row r="22" spans="1:14" x14ac:dyDescent="0.2">
      <c r="A22" s="59"/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59">
        <f t="shared" si="0"/>
        <v>0</v>
      </c>
    </row>
    <row r="23" spans="1:14" x14ac:dyDescent="0.2">
      <c r="A23" s="59"/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f t="shared" si="0"/>
        <v>0</v>
      </c>
    </row>
    <row r="24" spans="1:14" ht="15.75" x14ac:dyDescent="0.25">
      <c r="A24" s="98" t="s">
        <v>90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1:14" x14ac:dyDescent="0.2">
      <c r="A25" s="59" t="s">
        <v>100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99">
        <f t="shared" si="0"/>
        <v>0</v>
      </c>
    </row>
    <row r="26" spans="1:14" x14ac:dyDescent="0.2">
      <c r="A26" s="59" t="s">
        <v>99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59">
        <f t="shared" si="0"/>
        <v>0</v>
      </c>
    </row>
    <row r="27" spans="1:14" x14ac:dyDescent="0.2">
      <c r="A27" s="59"/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59">
        <f t="shared" si="0"/>
        <v>0</v>
      </c>
    </row>
    <row r="28" spans="1:14" x14ac:dyDescent="0.2">
      <c r="A28" s="59"/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0</v>
      </c>
      <c r="M28" s="147">
        <v>0</v>
      </c>
      <c r="N28" s="59">
        <v>0</v>
      </c>
    </row>
    <row r="29" spans="1:14" x14ac:dyDescent="0.2">
      <c r="A29" s="59"/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f t="shared" si="0"/>
        <v>0</v>
      </c>
    </row>
    <row r="30" spans="1:14" ht="15.75" x14ac:dyDescent="0.25">
      <c r="A30" s="98" t="s">
        <v>91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4" x14ac:dyDescent="0.2">
      <c r="A31" s="59" t="s">
        <v>128</v>
      </c>
      <c r="B31" s="146">
        <v>0</v>
      </c>
      <c r="C31" s="146">
        <v>0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99">
        <f t="shared" si="0"/>
        <v>0</v>
      </c>
    </row>
    <row r="32" spans="1:14" x14ac:dyDescent="0.2">
      <c r="A32" s="59" t="s">
        <v>127</v>
      </c>
      <c r="B32" s="147">
        <v>0</v>
      </c>
      <c r="C32" s="147">
        <v>0</v>
      </c>
      <c r="D32" s="147">
        <v>0</v>
      </c>
      <c r="E32" s="147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59">
        <f t="shared" si="0"/>
        <v>0</v>
      </c>
    </row>
    <row r="33" spans="1:14" x14ac:dyDescent="0.2">
      <c r="A33" s="59" t="s">
        <v>101</v>
      </c>
      <c r="B33" s="147">
        <v>0</v>
      </c>
      <c r="C33" s="147">
        <v>0</v>
      </c>
      <c r="D33" s="147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59">
        <f t="shared" si="0"/>
        <v>0</v>
      </c>
    </row>
    <row r="34" spans="1:14" x14ac:dyDescent="0.2">
      <c r="A34" s="59"/>
      <c r="B34" s="147">
        <v>0</v>
      </c>
      <c r="C34" s="147">
        <v>0</v>
      </c>
      <c r="D34" s="147">
        <v>0</v>
      </c>
      <c r="E34" s="147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59">
        <f t="shared" si="0"/>
        <v>0</v>
      </c>
    </row>
    <row r="35" spans="1:14" x14ac:dyDescent="0.2">
      <c r="A35" s="59"/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59">
        <f t="shared" si="0"/>
        <v>0</v>
      </c>
    </row>
    <row r="36" spans="1:14" x14ac:dyDescent="0.2">
      <c r="A36" s="59"/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f t="shared" si="0"/>
        <v>0</v>
      </c>
    </row>
    <row r="37" spans="1:14" ht="15.75" x14ac:dyDescent="0.25">
      <c r="A37" s="101" t="s">
        <v>102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65"/>
    </row>
    <row r="38" spans="1:14" ht="15.75" x14ac:dyDescent="0.25">
      <c r="A38" s="102" t="s">
        <v>138</v>
      </c>
      <c r="B38" s="146">
        <v>0</v>
      </c>
      <c r="C38" s="146">
        <v>0</v>
      </c>
      <c r="D38" s="146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99">
        <f t="shared" si="0"/>
        <v>0</v>
      </c>
    </row>
    <row r="39" spans="1:14" ht="15.75" x14ac:dyDescent="0.25">
      <c r="A39" s="102" t="s">
        <v>139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59">
        <f t="shared" si="0"/>
        <v>0</v>
      </c>
    </row>
    <row r="40" spans="1:14" ht="15.75" x14ac:dyDescent="0.25">
      <c r="A40" s="102" t="s">
        <v>140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59">
        <f t="shared" si="0"/>
        <v>0</v>
      </c>
    </row>
    <row r="41" spans="1:14" ht="15.75" x14ac:dyDescent="0.25">
      <c r="A41" s="102" t="s">
        <v>141</v>
      </c>
      <c r="B41" s="147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59">
        <f t="shared" si="0"/>
        <v>0</v>
      </c>
    </row>
    <row r="42" spans="1:14" ht="15.75" x14ac:dyDescent="0.25">
      <c r="A42" s="102" t="s">
        <v>142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59">
        <f t="shared" si="0"/>
        <v>0</v>
      </c>
    </row>
    <row r="43" spans="1:14" ht="15.75" x14ac:dyDescent="0.25">
      <c r="A43" s="102" t="s">
        <v>143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59">
        <f t="shared" si="0"/>
        <v>0</v>
      </c>
    </row>
    <row r="44" spans="1:14" ht="15.75" x14ac:dyDescent="0.25">
      <c r="A44" s="102" t="s">
        <v>145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59">
        <f t="shared" si="0"/>
        <v>0</v>
      </c>
    </row>
    <row r="45" spans="1:14" ht="15.75" x14ac:dyDescent="0.25">
      <c r="A45" s="102" t="s">
        <v>144</v>
      </c>
      <c r="B45" s="148">
        <v>0</v>
      </c>
      <c r="C45" s="148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99">
        <f t="shared" si="0"/>
        <v>0</v>
      </c>
    </row>
    <row r="46" spans="1:14" ht="15.75" x14ac:dyDescent="0.25">
      <c r="A46" s="103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"/>
    </row>
    <row r="47" spans="1:14" x14ac:dyDescent="0.2">
      <c r="A47" s="59" t="s">
        <v>146</v>
      </c>
      <c r="B47" s="150">
        <v>0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/>
      <c r="I47" s="150"/>
      <c r="J47" s="150"/>
      <c r="K47" s="150"/>
      <c r="L47" s="150"/>
      <c r="M47" s="150"/>
      <c r="N47" s="104">
        <f t="shared" si="0"/>
        <v>0</v>
      </c>
    </row>
    <row r="48" spans="1:14" x14ac:dyDescent="0.2">
      <c r="A48" s="59" t="s">
        <v>147</v>
      </c>
      <c r="B48" s="147">
        <v>0</v>
      </c>
      <c r="C48" s="147">
        <v>0</v>
      </c>
      <c r="D48" s="147">
        <v>0</v>
      </c>
      <c r="E48" s="147">
        <v>0</v>
      </c>
      <c r="F48" s="147">
        <v>0</v>
      </c>
      <c r="G48" s="147">
        <v>0</v>
      </c>
      <c r="H48" s="147"/>
      <c r="I48" s="147"/>
      <c r="J48" s="147"/>
      <c r="K48" s="147"/>
      <c r="L48" s="147"/>
      <c r="M48" s="147"/>
      <c r="N48" s="59">
        <f t="shared" si="0"/>
        <v>0</v>
      </c>
    </row>
    <row r="49" spans="1:14" s="6" customFormat="1" ht="19.5" x14ac:dyDescent="0.35">
      <c r="A49" s="62" t="s">
        <v>11</v>
      </c>
      <c r="B49" s="105">
        <f>SUM(B6:B48)</f>
        <v>0</v>
      </c>
      <c r="C49" s="105">
        <f t="shared" ref="C49:N49" si="1">SUM(C6:C48)</f>
        <v>0</v>
      </c>
      <c r="D49" s="105">
        <f t="shared" si="1"/>
        <v>0</v>
      </c>
      <c r="E49" s="105">
        <f t="shared" si="1"/>
        <v>0</v>
      </c>
      <c r="F49" s="105">
        <f t="shared" si="1"/>
        <v>0</v>
      </c>
      <c r="G49" s="105">
        <f t="shared" si="1"/>
        <v>0</v>
      </c>
      <c r="H49" s="105">
        <f t="shared" si="1"/>
        <v>0</v>
      </c>
      <c r="I49" s="105">
        <f t="shared" si="1"/>
        <v>0</v>
      </c>
      <c r="J49" s="105">
        <f t="shared" si="1"/>
        <v>0</v>
      </c>
      <c r="K49" s="105">
        <f t="shared" si="1"/>
        <v>0</v>
      </c>
      <c r="L49" s="105">
        <f t="shared" si="1"/>
        <v>0</v>
      </c>
      <c r="M49" s="105">
        <f t="shared" si="1"/>
        <v>0</v>
      </c>
      <c r="N49" s="105">
        <f t="shared" si="1"/>
        <v>0</v>
      </c>
    </row>
    <row r="50" spans="1:14" ht="19.5" x14ac:dyDescent="0.35">
      <c r="A50" s="157" t="s">
        <v>177</v>
      </c>
      <c r="B50" s="162"/>
      <c r="C50" s="162"/>
      <c r="D50" s="162"/>
    </row>
  </sheetData>
  <mergeCells count="1">
    <mergeCell ref="A1:N1"/>
  </mergeCells>
  <phoneticPr fontId="0" type="noConversion"/>
  <pageMargins left="0.75" right="0.75" top="1" bottom="1" header="0.5" footer="0.5"/>
  <pageSetup scale="69" orientation="landscape" r:id="rId1"/>
  <headerFooter alignWithMargins="0">
    <oddFooter>&amp;LPrepared with assistance, Aboriginal Business Development Centre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75" zoomScaleNormal="100" workbookViewId="0">
      <selection activeCell="A33" sqref="A33"/>
    </sheetView>
  </sheetViews>
  <sheetFormatPr defaultRowHeight="12.75" x14ac:dyDescent="0.2"/>
  <cols>
    <col min="1" max="1" width="46.140625" bestFit="1" customWidth="1"/>
    <col min="2" max="2" width="10" bestFit="1" customWidth="1"/>
    <col min="4" max="4" width="14" bestFit="1" customWidth="1"/>
    <col min="5" max="5" width="6.7109375" customWidth="1"/>
    <col min="6" max="6" width="5.7109375" customWidth="1"/>
    <col min="7" max="7" width="9.7109375" customWidth="1"/>
  </cols>
  <sheetData>
    <row r="1" spans="1:4" ht="27" x14ac:dyDescent="0.2">
      <c r="A1" s="125" t="s">
        <v>8</v>
      </c>
      <c r="B1" s="126"/>
      <c r="C1" s="126"/>
      <c r="D1" s="126"/>
    </row>
    <row r="2" spans="1:4" ht="20.25" x14ac:dyDescent="0.3">
      <c r="A2" s="127" t="s">
        <v>70</v>
      </c>
      <c r="B2" s="126"/>
      <c r="C2" s="38"/>
      <c r="D2" s="36"/>
    </row>
    <row r="3" spans="1:4" ht="15" x14ac:dyDescent="0.2">
      <c r="A3" s="151" t="s">
        <v>117</v>
      </c>
      <c r="B3" s="152">
        <v>1400</v>
      </c>
      <c r="C3" s="31"/>
      <c r="D3" s="31"/>
    </row>
    <row r="4" spans="1:4" ht="15" x14ac:dyDescent="0.2">
      <c r="A4" s="151" t="s">
        <v>118</v>
      </c>
      <c r="B4" s="153">
        <v>1000</v>
      </c>
      <c r="C4" s="31"/>
      <c r="D4" s="31"/>
    </row>
    <row r="5" spans="1:4" ht="15" x14ac:dyDescent="0.2">
      <c r="A5" s="151" t="s">
        <v>119</v>
      </c>
      <c r="B5" s="153">
        <v>95</v>
      </c>
      <c r="C5" s="31"/>
      <c r="D5" s="31"/>
    </row>
    <row r="6" spans="1:4" ht="15" x14ac:dyDescent="0.2">
      <c r="A6" s="151" t="s">
        <v>170</v>
      </c>
      <c r="B6" s="153">
        <v>100</v>
      </c>
      <c r="C6" s="31"/>
      <c r="D6" s="31"/>
    </row>
    <row r="7" spans="1:4" ht="15" x14ac:dyDescent="0.2">
      <c r="A7" s="151" t="s">
        <v>109</v>
      </c>
      <c r="B7" s="153">
        <v>40</v>
      </c>
      <c r="C7" s="31"/>
      <c r="D7" s="31"/>
    </row>
    <row r="8" spans="1:4" ht="15" x14ac:dyDescent="0.2">
      <c r="A8" s="151" t="s">
        <v>120</v>
      </c>
      <c r="B8" s="153">
        <v>200</v>
      </c>
      <c r="C8" s="31"/>
      <c r="D8" s="31"/>
    </row>
    <row r="9" spans="1:4" ht="15" x14ac:dyDescent="0.2">
      <c r="A9" s="151" t="s">
        <v>121</v>
      </c>
      <c r="B9" s="153">
        <v>200</v>
      </c>
      <c r="C9" s="31"/>
      <c r="D9" s="31"/>
    </row>
    <row r="10" spans="1:4" ht="15" x14ac:dyDescent="0.2">
      <c r="A10" s="151" t="s">
        <v>149</v>
      </c>
      <c r="B10" s="153">
        <v>200</v>
      </c>
      <c r="C10" s="31"/>
      <c r="D10" s="31"/>
    </row>
    <row r="11" spans="1:4" ht="15" x14ac:dyDescent="0.2">
      <c r="A11" s="151" t="s">
        <v>122</v>
      </c>
      <c r="B11" s="153">
        <v>100</v>
      </c>
      <c r="C11" s="31"/>
      <c r="D11" s="31"/>
    </row>
    <row r="12" spans="1:4" ht="15" x14ac:dyDescent="0.2">
      <c r="A12" s="151" t="s">
        <v>171</v>
      </c>
      <c r="B12" s="153">
        <v>95</v>
      </c>
      <c r="C12" s="31"/>
      <c r="D12" s="31"/>
    </row>
    <row r="13" spans="1:4" ht="15" x14ac:dyDescent="0.2">
      <c r="A13" s="151" t="s">
        <v>172</v>
      </c>
      <c r="B13" s="153">
        <v>155</v>
      </c>
      <c r="C13" s="31"/>
      <c r="D13" s="31"/>
    </row>
    <row r="14" spans="1:4" ht="15" x14ac:dyDescent="0.2">
      <c r="A14" s="151"/>
      <c r="B14" s="153">
        <v>0</v>
      </c>
      <c r="C14" s="31"/>
      <c r="D14" s="31"/>
    </row>
    <row r="15" spans="1:4" ht="15" x14ac:dyDescent="0.2">
      <c r="A15" s="151" t="s">
        <v>80</v>
      </c>
      <c r="B15" s="153">
        <v>0</v>
      </c>
      <c r="C15" s="31"/>
      <c r="D15" s="31"/>
    </row>
    <row r="16" spans="1:4" ht="15" x14ac:dyDescent="0.2">
      <c r="A16" s="151" t="s">
        <v>80</v>
      </c>
      <c r="B16" s="153">
        <v>0</v>
      </c>
      <c r="C16" s="31"/>
      <c r="D16" s="31"/>
    </row>
    <row r="17" spans="1:4" ht="16.5" thickBot="1" x14ac:dyDescent="0.3">
      <c r="A17" s="33" t="s">
        <v>66</v>
      </c>
      <c r="B17" s="106">
        <f>SUM(B3:B16)</f>
        <v>3585</v>
      </c>
      <c r="C17" s="31"/>
      <c r="D17" s="31"/>
    </row>
    <row r="18" spans="1:4" ht="15" x14ac:dyDescent="0.2">
      <c r="A18" s="34" t="s">
        <v>67</v>
      </c>
      <c r="B18" s="154">
        <v>1500</v>
      </c>
      <c r="C18" s="31"/>
      <c r="D18" s="31"/>
    </row>
    <row r="19" spans="1:4" ht="18.75" thickBot="1" x14ac:dyDescent="0.3">
      <c r="A19" s="32" t="s">
        <v>68</v>
      </c>
      <c r="B19" s="107">
        <f>B17-B18</f>
        <v>2085</v>
      </c>
      <c r="C19" s="31"/>
      <c r="D19" s="31"/>
    </row>
    <row r="20" spans="1:4" ht="15.75" thickTop="1" x14ac:dyDescent="0.2">
      <c r="A20" s="31"/>
      <c r="B20" s="31"/>
      <c r="C20" s="31"/>
      <c r="D20" s="31"/>
    </row>
    <row r="21" spans="1:4" ht="20.25" x14ac:dyDescent="0.2">
      <c r="A21" s="37" t="s">
        <v>69</v>
      </c>
      <c r="B21" s="37"/>
      <c r="C21" s="37"/>
      <c r="D21" s="39" t="s">
        <v>75</v>
      </c>
    </row>
    <row r="22" spans="1:4" ht="15" x14ac:dyDescent="0.2">
      <c r="A22" s="151" t="s">
        <v>71</v>
      </c>
      <c r="B22" s="152"/>
      <c r="C22" s="151"/>
      <c r="D22" s="155"/>
    </row>
    <row r="23" spans="1:4" ht="15" x14ac:dyDescent="0.2">
      <c r="A23" s="151" t="s">
        <v>72</v>
      </c>
      <c r="B23" s="152">
        <v>2000</v>
      </c>
      <c r="C23" s="151"/>
      <c r="D23" s="155" t="s">
        <v>173</v>
      </c>
    </row>
    <row r="24" spans="1:4" ht="15" x14ac:dyDescent="0.2">
      <c r="A24" s="151" t="s">
        <v>73</v>
      </c>
      <c r="B24" s="153"/>
      <c r="C24" s="151"/>
      <c r="D24" s="156"/>
    </row>
    <row r="25" spans="1:4" ht="15" x14ac:dyDescent="0.2">
      <c r="A25" s="151" t="s">
        <v>74</v>
      </c>
      <c r="B25" s="153">
        <v>1500</v>
      </c>
      <c r="C25" s="151"/>
      <c r="D25" s="156" t="s">
        <v>162</v>
      </c>
    </row>
    <row r="26" spans="1:4" ht="15" x14ac:dyDescent="0.2">
      <c r="A26" s="151" t="s">
        <v>123</v>
      </c>
      <c r="B26" s="153">
        <v>0</v>
      </c>
      <c r="C26" s="151"/>
      <c r="D26" s="156"/>
    </row>
    <row r="27" spans="1:4" ht="15" x14ac:dyDescent="0.2">
      <c r="A27" s="151" t="s">
        <v>124</v>
      </c>
      <c r="B27" s="153">
        <v>0</v>
      </c>
      <c r="C27" s="151"/>
      <c r="D27" s="156"/>
    </row>
    <row r="28" spans="1:4" ht="15" x14ac:dyDescent="0.2">
      <c r="A28" s="151" t="s">
        <v>10</v>
      </c>
      <c r="B28" s="153">
        <v>0</v>
      </c>
      <c r="C28" s="151"/>
      <c r="D28" s="156"/>
    </row>
    <row r="29" spans="1:4" ht="15" x14ac:dyDescent="0.2">
      <c r="A29" s="151" t="s">
        <v>10</v>
      </c>
      <c r="B29" s="153">
        <v>0</v>
      </c>
      <c r="C29" s="151"/>
      <c r="D29" s="156"/>
    </row>
    <row r="30" spans="1:4" ht="15" x14ac:dyDescent="0.2">
      <c r="A30" s="151" t="s">
        <v>10</v>
      </c>
      <c r="B30" s="153">
        <v>0</v>
      </c>
      <c r="C30" s="151"/>
      <c r="D30" s="156"/>
    </row>
    <row r="31" spans="1:4" ht="15" x14ac:dyDescent="0.2">
      <c r="A31" s="151" t="s">
        <v>10</v>
      </c>
      <c r="B31" s="153">
        <v>0</v>
      </c>
      <c r="C31" s="151"/>
      <c r="D31" s="156"/>
    </row>
    <row r="32" spans="1:4" ht="15" x14ac:dyDescent="0.2">
      <c r="A32" s="31"/>
      <c r="B32" s="31"/>
      <c r="C32" s="31"/>
      <c r="D32" s="31"/>
    </row>
    <row r="33" spans="1:8" ht="19.5" x14ac:dyDescent="0.35">
      <c r="A33" s="157" t="s">
        <v>177</v>
      </c>
    </row>
    <row r="34" spans="1:8" s="64" customFormat="1" ht="23.25" x14ac:dyDescent="0.35">
      <c r="H34" s="35"/>
    </row>
    <row r="36" spans="1:8" x14ac:dyDescent="0.2">
      <c r="H36" s="65"/>
    </row>
  </sheetData>
  <mergeCells count="2">
    <mergeCell ref="A1:D1"/>
    <mergeCell ref="A2:B2"/>
  </mergeCells>
  <phoneticPr fontId="0" type="noConversion"/>
  <pageMargins left="0.19685039370078741" right="0.19685039370078741" top="0.19685039370078741" bottom="0.19685039370078741" header="0" footer="0"/>
  <pageSetup scale="130" orientation="portrait" horizontalDpi="300" r:id="rId1"/>
  <headerFooter alignWithMargins="0">
    <oddFooter>&amp;LPrepared with assistance, Aboriginal Business Development Centre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7" sqref="A17:D17"/>
    </sheetView>
  </sheetViews>
  <sheetFormatPr defaultRowHeight="12.75" x14ac:dyDescent="0.2"/>
  <cols>
    <col min="1" max="1" width="12.7109375" bestFit="1" customWidth="1"/>
    <col min="2" max="2" width="9.85546875" bestFit="1" customWidth="1"/>
    <col min="3" max="3" width="9" bestFit="1" customWidth="1"/>
    <col min="4" max="4" width="24.28515625" bestFit="1" customWidth="1"/>
    <col min="5" max="5" width="11.28515625" bestFit="1" customWidth="1"/>
  </cols>
  <sheetData>
    <row r="1" spans="1:5" ht="19.5" thickBot="1" x14ac:dyDescent="0.35">
      <c r="A1" s="128" t="s">
        <v>33</v>
      </c>
      <c r="B1" s="129"/>
      <c r="C1" s="129"/>
      <c r="D1" s="129"/>
      <c r="E1" s="129"/>
    </row>
    <row r="2" spans="1:5" x14ac:dyDescent="0.2">
      <c r="D2" t="str">
        <f>'Use &amp; Source'!B29</f>
        <v>Lending Programs</v>
      </c>
      <c r="E2" t="str">
        <f>'Use &amp; Source'!B31</f>
        <v>Bank</v>
      </c>
    </row>
    <row r="3" spans="1:5" x14ac:dyDescent="0.2">
      <c r="A3" t="s">
        <v>34</v>
      </c>
      <c r="B3" s="97">
        <v>1</v>
      </c>
      <c r="D3" s="13"/>
    </row>
    <row r="4" spans="1:5" x14ac:dyDescent="0.2">
      <c r="A4" s="17" t="s">
        <v>35</v>
      </c>
      <c r="B4" s="18">
        <f>'Use &amp; Source'!C29+'Use &amp; Source'!C31</f>
        <v>68500</v>
      </c>
    </row>
    <row r="5" spans="1:5" x14ac:dyDescent="0.2">
      <c r="A5" s="19" t="s">
        <v>36</v>
      </c>
      <c r="B5" s="160">
        <v>0</v>
      </c>
    </row>
    <row r="6" spans="1:5" x14ac:dyDescent="0.2">
      <c r="A6" s="19" t="s">
        <v>37</v>
      </c>
      <c r="B6" s="160">
        <f>MAX((B4*0.005),50)</f>
        <v>342.5</v>
      </c>
    </row>
    <row r="7" spans="1:5" x14ac:dyDescent="0.2">
      <c r="A7" s="19" t="s">
        <v>38</v>
      </c>
      <c r="B7" s="160">
        <v>0</v>
      </c>
      <c r="C7" s="63"/>
    </row>
    <row r="8" spans="1:5" x14ac:dyDescent="0.2">
      <c r="A8" s="20" t="s">
        <v>39</v>
      </c>
      <c r="B8" s="18">
        <f>SUM(B4:B7)</f>
        <v>68842.5</v>
      </c>
    </row>
    <row r="9" spans="1:5" x14ac:dyDescent="0.2">
      <c r="A9" t="s">
        <v>17</v>
      </c>
      <c r="B9" s="158">
        <v>0.04</v>
      </c>
      <c r="C9" t="s">
        <v>155</v>
      </c>
    </row>
    <row r="10" spans="1:5" ht="15.75" x14ac:dyDescent="0.25">
      <c r="A10" t="s">
        <v>40</v>
      </c>
      <c r="B10" s="159">
        <v>60</v>
      </c>
      <c r="C10" t="s">
        <v>148</v>
      </c>
      <c r="D10" s="21" t="s">
        <v>41</v>
      </c>
    </row>
    <row r="11" spans="1:5" x14ac:dyDescent="0.2">
      <c r="B11" s="16"/>
      <c r="D11" t="s">
        <v>42</v>
      </c>
      <c r="E11">
        <f>B15*B10</f>
        <v>76813.86417538044</v>
      </c>
    </row>
    <row r="12" spans="1:5" x14ac:dyDescent="0.2">
      <c r="A12" t="s">
        <v>17</v>
      </c>
      <c r="B12" s="19">
        <f>IPMT(B9/12,1,B10,-(B4+B5+B6+B7))</f>
        <v>229.47500000000002</v>
      </c>
      <c r="D12" t="s">
        <v>39</v>
      </c>
      <c r="E12">
        <f>B8</f>
        <v>68842.5</v>
      </c>
    </row>
    <row r="13" spans="1:5" x14ac:dyDescent="0.2">
      <c r="A13" t="s">
        <v>16</v>
      </c>
      <c r="B13" s="19">
        <f>PPMT(B9/12,1,B10,-(B4+B5+B6+B7))</f>
        <v>1038.3644195896738</v>
      </c>
      <c r="C13" s="19"/>
      <c r="D13" t="s">
        <v>43</v>
      </c>
      <c r="E13">
        <f>E11-E12</f>
        <v>7971.3641753804404</v>
      </c>
    </row>
    <row r="14" spans="1:5" ht="13.5" thickBot="1" x14ac:dyDescent="0.25">
      <c r="A14" t="s">
        <v>44</v>
      </c>
      <c r="B14" s="19">
        <f>((B4+B5+B6+B7)/2)*B3*0.36/1000</f>
        <v>12.39165</v>
      </c>
      <c r="C14" s="19"/>
      <c r="D14" t="s">
        <v>44</v>
      </c>
      <c r="E14">
        <f>B14*B10</f>
        <v>743.49900000000002</v>
      </c>
    </row>
    <row r="15" spans="1:5" ht="16.5" thickBot="1" x14ac:dyDescent="0.3">
      <c r="A15" s="22" t="s">
        <v>45</v>
      </c>
      <c r="B15" s="23">
        <f>SUM(B12:B14)</f>
        <v>1280.231069589674</v>
      </c>
      <c r="D15" s="22" t="s">
        <v>46</v>
      </c>
      <c r="E15" s="23">
        <f>E13-E14</f>
        <v>7227.8651753804406</v>
      </c>
    </row>
    <row r="17" spans="1:4" ht="19.5" x14ac:dyDescent="0.35">
      <c r="A17" s="157" t="s">
        <v>177</v>
      </c>
      <c r="B17" s="162"/>
      <c r="C17" s="162"/>
      <c r="D17" s="162"/>
    </row>
  </sheetData>
  <mergeCells count="1">
    <mergeCell ref="A1:E1"/>
  </mergeCells>
  <phoneticPr fontId="0" type="noConversion"/>
  <pageMargins left="0.75" right="0.75" top="1" bottom="1" header="0.5" footer="0.5"/>
  <pageSetup orientation="portrait" horizontalDpi="300" verticalDpi="300" r:id="rId1"/>
  <headerFooter alignWithMargins="0">
    <oddFooter>&amp;Lprepared with assistance, Aboriginal Business Development Centre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G7" sqref="G7"/>
    </sheetView>
  </sheetViews>
  <sheetFormatPr defaultRowHeight="12.75" x14ac:dyDescent="0.2"/>
  <cols>
    <col min="1" max="1" width="3.28515625" bestFit="1" customWidth="1"/>
    <col min="2" max="2" width="11.85546875" style="24" bestFit="1" customWidth="1"/>
    <col min="3" max="3" width="10.140625" bestFit="1" customWidth="1"/>
    <col min="4" max="4" width="8.85546875" bestFit="1" customWidth="1"/>
    <col min="5" max="5" width="19.42578125" bestFit="1" customWidth="1"/>
    <col min="6" max="6" width="8.42578125" bestFit="1" customWidth="1"/>
    <col min="7" max="7" width="11" bestFit="1" customWidth="1"/>
    <col min="8" max="8" width="7.42578125" bestFit="1" customWidth="1"/>
    <col min="9" max="9" width="7.5703125" bestFit="1" customWidth="1"/>
    <col min="10" max="10" width="6.140625" bestFit="1" customWidth="1"/>
    <col min="11" max="11" width="7.5703125" bestFit="1" customWidth="1"/>
  </cols>
  <sheetData>
    <row r="1" spans="1:12" ht="19.5" thickBot="1" x14ac:dyDescent="0.35">
      <c r="A1" s="130" t="s">
        <v>47</v>
      </c>
      <c r="B1" s="129"/>
      <c r="C1" s="129"/>
      <c r="D1" s="129"/>
      <c r="E1" s="129"/>
      <c r="F1" s="15"/>
      <c r="G1" s="15"/>
    </row>
    <row r="3" spans="1:12" x14ac:dyDescent="0.2">
      <c r="A3" s="133" t="s">
        <v>48</v>
      </c>
      <c r="B3" s="133"/>
      <c r="C3">
        <f>'Loan Pymt Calc1'!B8</f>
        <v>68842.5</v>
      </c>
      <c r="E3" t="s">
        <v>49</v>
      </c>
      <c r="G3" s="16">
        <f>'Loan Pymt Calc1'!B10</f>
        <v>60</v>
      </c>
    </row>
    <row r="4" spans="1:12" x14ac:dyDescent="0.2">
      <c r="A4" s="133" t="s">
        <v>50</v>
      </c>
      <c r="B4" s="133"/>
      <c r="C4" s="25">
        <f>'Loan Pymt Calc1'!B9</f>
        <v>0.04</v>
      </c>
      <c r="E4" t="s">
        <v>51</v>
      </c>
      <c r="G4" s="19">
        <f>'Loan Pymt Calc1'!B15</f>
        <v>1280.231069589674</v>
      </c>
    </row>
    <row r="5" spans="1:12" x14ac:dyDescent="0.2">
      <c r="C5" s="25"/>
      <c r="G5" s="19"/>
    </row>
    <row r="6" spans="1:12" x14ac:dyDescent="0.2">
      <c r="C6" s="26" t="s">
        <v>52</v>
      </c>
      <c r="D6" s="13" t="s">
        <v>53</v>
      </c>
      <c r="E6" s="13" t="s">
        <v>54</v>
      </c>
      <c r="G6" s="19"/>
    </row>
    <row r="7" spans="1:12" ht="19.5" x14ac:dyDescent="0.35">
      <c r="A7" s="133" t="s">
        <v>55</v>
      </c>
      <c r="B7" s="133"/>
      <c r="C7" s="161">
        <v>1</v>
      </c>
      <c r="D7" s="161">
        <v>9</v>
      </c>
      <c r="E7" s="161">
        <v>2023</v>
      </c>
      <c r="G7" s="157" t="s">
        <v>177</v>
      </c>
      <c r="H7" s="162"/>
      <c r="I7" s="162"/>
      <c r="J7" s="162"/>
      <c r="K7" s="162"/>
      <c r="L7" s="162"/>
    </row>
    <row r="8" spans="1:12" x14ac:dyDescent="0.2">
      <c r="C8" s="25"/>
      <c r="G8" s="19"/>
    </row>
    <row r="9" spans="1:12" ht="35.25" x14ac:dyDescent="0.2">
      <c r="A9" s="28" t="s">
        <v>56</v>
      </c>
      <c r="B9" s="24" t="s">
        <v>57</v>
      </c>
      <c r="C9" s="13" t="s">
        <v>45</v>
      </c>
      <c r="D9" s="13" t="s">
        <v>16</v>
      </c>
      <c r="E9" s="13" t="s">
        <v>17</v>
      </c>
      <c r="F9" s="13" t="s">
        <v>58</v>
      </c>
      <c r="G9" s="13" t="s">
        <v>59</v>
      </c>
    </row>
    <row r="10" spans="1:12" x14ac:dyDescent="0.2">
      <c r="A10" s="27">
        <v>1</v>
      </c>
      <c r="B10" s="24">
        <f>DATE(E$7,D$7+A10-1,C$7)</f>
        <v>45170</v>
      </c>
      <c r="C10" s="19">
        <f t="shared" ref="C10:C69" si="0">G$4</f>
        <v>1280.231069589674</v>
      </c>
      <c r="D10" s="19">
        <f t="shared" ref="D10:D69" si="1">C10-E10-F10</f>
        <v>1025.972769589674</v>
      </c>
      <c r="E10" s="19">
        <f>IPMT(C$4/12,1,G$3,-C3)</f>
        <v>229.47500000000002</v>
      </c>
      <c r="F10" s="19">
        <f>$C$3*0.36/1000</f>
        <v>24.783300000000001</v>
      </c>
      <c r="G10" s="19">
        <f>C3-D10</f>
        <v>67816.527230410327</v>
      </c>
    </row>
    <row r="11" spans="1:12" x14ac:dyDescent="0.2">
      <c r="A11" s="27">
        <v>2</v>
      </c>
      <c r="B11" s="24">
        <f t="shared" ref="B11:B69" si="2">DATE(E$7,D$7+A11-1,C$7)</f>
        <v>45200</v>
      </c>
      <c r="C11" s="19">
        <f t="shared" si="0"/>
        <v>1280.231069589674</v>
      </c>
      <c r="D11" s="19">
        <f t="shared" si="1"/>
        <v>1029.7620290186919</v>
      </c>
      <c r="E11" s="19">
        <f t="shared" ref="E11:E70" si="3">IPMT(C$4/12,1,G$3,-G10)</f>
        <v>226.05509076803443</v>
      </c>
      <c r="F11" s="19">
        <f>G10*0.36/1000</f>
        <v>24.41394980294772</v>
      </c>
      <c r="G11" s="19">
        <f t="shared" ref="G11:G70" si="4">G10-D11</f>
        <v>66786.765201391638</v>
      </c>
    </row>
    <row r="12" spans="1:12" x14ac:dyDescent="0.2">
      <c r="A12" s="27">
        <v>3</v>
      </c>
      <c r="B12" s="24">
        <f t="shared" si="2"/>
        <v>45231</v>
      </c>
      <c r="C12" s="19">
        <f t="shared" si="0"/>
        <v>1280.231069589674</v>
      </c>
      <c r="D12" s="19">
        <f t="shared" si="1"/>
        <v>1033.5652834458676</v>
      </c>
      <c r="E12" s="19">
        <f t="shared" si="3"/>
        <v>222.62255067130548</v>
      </c>
      <c r="F12" s="19">
        <f t="shared" ref="F12:F70" si="5">G11*0.36/1000</f>
        <v>24.043235472500989</v>
      </c>
      <c r="G12" s="19">
        <f t="shared" si="4"/>
        <v>65753.199917945763</v>
      </c>
    </row>
    <row r="13" spans="1:12" x14ac:dyDescent="0.2">
      <c r="A13" s="27">
        <v>4</v>
      </c>
      <c r="B13" s="24">
        <f t="shared" si="2"/>
        <v>45261</v>
      </c>
      <c r="C13" s="19">
        <f t="shared" si="0"/>
        <v>1280.231069589674</v>
      </c>
      <c r="D13" s="19">
        <f t="shared" si="1"/>
        <v>1037.3825845593944</v>
      </c>
      <c r="E13" s="19">
        <f t="shared" si="3"/>
        <v>219.17733305981923</v>
      </c>
      <c r="F13" s="19">
        <f t="shared" si="5"/>
        <v>23.671151970460471</v>
      </c>
      <c r="G13" s="19">
        <f t="shared" si="4"/>
        <v>64715.817333386367</v>
      </c>
    </row>
    <row r="14" spans="1:12" x14ac:dyDescent="0.2">
      <c r="A14" s="27">
        <v>5</v>
      </c>
      <c r="B14" s="24">
        <f t="shared" si="2"/>
        <v>45292</v>
      </c>
      <c r="C14" s="19">
        <f t="shared" si="0"/>
        <v>1280.231069589674</v>
      </c>
      <c r="D14" s="19">
        <f t="shared" si="1"/>
        <v>1041.2139842383669</v>
      </c>
      <c r="E14" s="19">
        <f t="shared" si="3"/>
        <v>215.71939111128791</v>
      </c>
      <c r="F14" s="19">
        <f t="shared" si="5"/>
        <v>23.297694240019094</v>
      </c>
      <c r="G14" s="19">
        <f t="shared" si="4"/>
        <v>63674.603349147998</v>
      </c>
    </row>
    <row r="15" spans="1:12" x14ac:dyDescent="0.2">
      <c r="A15" s="27">
        <v>6</v>
      </c>
      <c r="B15" s="24">
        <f t="shared" si="2"/>
        <v>45323</v>
      </c>
      <c r="C15" s="19">
        <f t="shared" si="0"/>
        <v>1280.231069589674</v>
      </c>
      <c r="D15" s="19">
        <f t="shared" si="1"/>
        <v>1045.0595345534873</v>
      </c>
      <c r="E15" s="19">
        <f t="shared" si="3"/>
        <v>212.24867783049334</v>
      </c>
      <c r="F15" s="19">
        <f t="shared" si="5"/>
        <v>22.92285720569328</v>
      </c>
      <c r="G15" s="19">
        <f t="shared" si="4"/>
        <v>62629.543814594508</v>
      </c>
    </row>
    <row r="16" spans="1:12" x14ac:dyDescent="0.2">
      <c r="A16" s="27">
        <v>7</v>
      </c>
      <c r="B16" s="24">
        <f t="shared" si="2"/>
        <v>45352</v>
      </c>
      <c r="C16" s="19">
        <f t="shared" si="0"/>
        <v>1280.231069589674</v>
      </c>
      <c r="D16" s="19">
        <f t="shared" si="1"/>
        <v>1048.9192877677715</v>
      </c>
      <c r="E16" s="19">
        <f t="shared" si="3"/>
        <v>208.7651460486484</v>
      </c>
      <c r="F16" s="19">
        <f t="shared" si="5"/>
        <v>22.546635773254025</v>
      </c>
      <c r="G16" s="19">
        <f t="shared" si="4"/>
        <v>61580.624526826738</v>
      </c>
    </row>
    <row r="17" spans="1:11" x14ac:dyDescent="0.2">
      <c r="A17" s="27">
        <v>8</v>
      </c>
      <c r="B17" s="24">
        <f t="shared" si="2"/>
        <v>45383</v>
      </c>
      <c r="C17" s="19">
        <f t="shared" si="0"/>
        <v>1280.231069589674</v>
      </c>
      <c r="D17" s="19">
        <f t="shared" si="1"/>
        <v>1052.7932963372605</v>
      </c>
      <c r="E17" s="19">
        <f t="shared" si="3"/>
        <v>205.26874842275581</v>
      </c>
      <c r="F17" s="19">
        <f t="shared" si="5"/>
        <v>22.169024829657623</v>
      </c>
      <c r="G17" s="19">
        <f t="shared" si="4"/>
        <v>60527.831230489479</v>
      </c>
    </row>
    <row r="18" spans="1:11" x14ac:dyDescent="0.2">
      <c r="A18" s="27">
        <v>9</v>
      </c>
      <c r="B18" s="24">
        <f t="shared" si="2"/>
        <v>45413</v>
      </c>
      <c r="C18" s="19">
        <f t="shared" si="0"/>
        <v>1280.231069589674</v>
      </c>
      <c r="D18" s="19">
        <f t="shared" si="1"/>
        <v>1056.6816129117326</v>
      </c>
      <c r="E18" s="19">
        <f t="shared" si="3"/>
        <v>201.75943743496498</v>
      </c>
      <c r="F18" s="19">
        <f t="shared" si="5"/>
        <v>21.790019242976211</v>
      </c>
      <c r="G18" s="19">
        <f t="shared" si="4"/>
        <v>59471.149617577743</v>
      </c>
    </row>
    <row r="19" spans="1:11" x14ac:dyDescent="0.2">
      <c r="A19" s="27">
        <v>10</v>
      </c>
      <c r="B19" s="24">
        <f t="shared" si="2"/>
        <v>45444</v>
      </c>
      <c r="C19" s="19">
        <f t="shared" si="0"/>
        <v>1280.231069589674</v>
      </c>
      <c r="D19" s="19">
        <f t="shared" si="1"/>
        <v>1060.5842903354203</v>
      </c>
      <c r="E19" s="19">
        <f t="shared" si="3"/>
        <v>198.23716539192583</v>
      </c>
      <c r="F19" s="19">
        <f t="shared" si="5"/>
        <v>21.409613862327987</v>
      </c>
      <c r="G19" s="19">
        <f t="shared" si="4"/>
        <v>58410.565327242322</v>
      </c>
    </row>
    <row r="20" spans="1:11" x14ac:dyDescent="0.2">
      <c r="A20" s="27">
        <v>11</v>
      </c>
      <c r="B20" s="24">
        <f t="shared" si="2"/>
        <v>45474</v>
      </c>
      <c r="C20" s="19">
        <f t="shared" si="0"/>
        <v>1280.231069589674</v>
      </c>
      <c r="D20" s="19">
        <f t="shared" si="1"/>
        <v>1064.5013816477256</v>
      </c>
      <c r="E20" s="19">
        <f t="shared" si="3"/>
        <v>194.7018844241411</v>
      </c>
      <c r="F20" s="19">
        <f t="shared" si="5"/>
        <v>21.027803517807236</v>
      </c>
      <c r="G20" s="19">
        <f t="shared" si="4"/>
        <v>57346.0639455946</v>
      </c>
    </row>
    <row r="21" spans="1:11" x14ac:dyDescent="0.2">
      <c r="A21" s="27">
        <v>12</v>
      </c>
      <c r="B21" s="24">
        <f t="shared" si="2"/>
        <v>45505</v>
      </c>
      <c r="C21" s="19">
        <f t="shared" si="0"/>
        <v>1280.231069589674</v>
      </c>
      <c r="D21" s="19">
        <f t="shared" si="1"/>
        <v>1068.4329400839445</v>
      </c>
      <c r="E21" s="19">
        <f t="shared" si="3"/>
        <v>191.15354648531536</v>
      </c>
      <c r="F21" s="19">
        <f t="shared" si="5"/>
        <v>20.644583020414053</v>
      </c>
      <c r="G21" s="19">
        <f t="shared" si="4"/>
        <v>56277.631005510659</v>
      </c>
      <c r="H21">
        <f>SUM(D10:D21)</f>
        <v>12564.868994489338</v>
      </c>
      <c r="I21">
        <f>SUM(E10:E21)</f>
        <v>2525.183971648692</v>
      </c>
      <c r="J21">
        <f>SUM(F10:F21)</f>
        <v>272.71986893805871</v>
      </c>
      <c r="K21">
        <f>SUM(I21:J21)</f>
        <v>2797.9038405867509</v>
      </c>
    </row>
    <row r="22" spans="1:11" x14ac:dyDescent="0.2">
      <c r="A22" s="27">
        <v>13</v>
      </c>
      <c r="B22" s="24">
        <f t="shared" si="2"/>
        <v>45536</v>
      </c>
      <c r="C22" s="19">
        <f t="shared" si="0"/>
        <v>1280.231069589674</v>
      </c>
      <c r="D22" s="19">
        <f t="shared" si="1"/>
        <v>1072.379019075988</v>
      </c>
      <c r="E22" s="19">
        <f t="shared" si="3"/>
        <v>187.59210335170221</v>
      </c>
      <c r="F22" s="19">
        <f t="shared" si="5"/>
        <v>20.259947161983838</v>
      </c>
      <c r="G22" s="19">
        <f t="shared" si="4"/>
        <v>55205.251986434669</v>
      </c>
    </row>
    <row r="23" spans="1:11" x14ac:dyDescent="0.2">
      <c r="A23" s="27">
        <v>14</v>
      </c>
      <c r="B23" s="24">
        <f t="shared" si="2"/>
        <v>45566</v>
      </c>
      <c r="C23" s="19">
        <f t="shared" si="0"/>
        <v>1280.231069589674</v>
      </c>
      <c r="D23" s="19">
        <f t="shared" si="1"/>
        <v>1076.3396722531086</v>
      </c>
      <c r="E23" s="19">
        <f t="shared" si="3"/>
        <v>184.01750662144894</v>
      </c>
      <c r="F23" s="19">
        <f t="shared" si="5"/>
        <v>19.873890715116477</v>
      </c>
      <c r="G23" s="19">
        <f t="shared" si="4"/>
        <v>54128.912314181558</v>
      </c>
    </row>
    <row r="24" spans="1:11" x14ac:dyDescent="0.2">
      <c r="A24" s="27">
        <v>15</v>
      </c>
      <c r="B24" s="24">
        <f t="shared" si="2"/>
        <v>45597</v>
      </c>
      <c r="C24" s="19">
        <f t="shared" si="0"/>
        <v>1280.231069589674</v>
      </c>
      <c r="D24" s="19">
        <f t="shared" si="1"/>
        <v>1080.31495344263</v>
      </c>
      <c r="E24" s="19">
        <f t="shared" si="3"/>
        <v>180.42970771393851</v>
      </c>
      <c r="F24" s="19">
        <f t="shared" si="5"/>
        <v>19.48640843310536</v>
      </c>
      <c r="G24" s="19">
        <f t="shared" si="4"/>
        <v>53048.597360738931</v>
      </c>
    </row>
    <row r="25" spans="1:11" x14ac:dyDescent="0.2">
      <c r="A25" s="27">
        <v>16</v>
      </c>
      <c r="B25" s="24">
        <f t="shared" si="2"/>
        <v>45627</v>
      </c>
      <c r="C25" s="19">
        <f t="shared" si="0"/>
        <v>1280.231069589674</v>
      </c>
      <c r="D25" s="19">
        <f t="shared" si="1"/>
        <v>1084.3049166706783</v>
      </c>
      <c r="E25" s="19">
        <f t="shared" si="3"/>
        <v>176.82865786912976</v>
      </c>
      <c r="F25" s="19">
        <f t="shared" si="5"/>
        <v>19.097495049866016</v>
      </c>
      <c r="G25" s="19">
        <f t="shared" si="4"/>
        <v>51964.292444068255</v>
      </c>
    </row>
    <row r="26" spans="1:11" x14ac:dyDescent="0.2">
      <c r="A26" s="27">
        <v>17</v>
      </c>
      <c r="B26" s="24">
        <f t="shared" si="2"/>
        <v>45658</v>
      </c>
      <c r="C26" s="19">
        <f t="shared" si="0"/>
        <v>1280.231069589674</v>
      </c>
      <c r="D26" s="19">
        <f t="shared" si="1"/>
        <v>1088.3096161629153</v>
      </c>
      <c r="E26" s="19">
        <f t="shared" si="3"/>
        <v>173.21430814689418</v>
      </c>
      <c r="F26" s="19">
        <f t="shared" si="5"/>
        <v>18.707145279864569</v>
      </c>
      <c r="G26" s="19">
        <f t="shared" si="4"/>
        <v>50875.98282790534</v>
      </c>
    </row>
    <row r="27" spans="1:11" x14ac:dyDescent="0.2">
      <c r="A27" s="27">
        <v>18</v>
      </c>
      <c r="B27" s="24">
        <f t="shared" si="2"/>
        <v>45689</v>
      </c>
      <c r="C27" s="19">
        <f t="shared" si="0"/>
        <v>1280.231069589674</v>
      </c>
      <c r="D27" s="19">
        <f t="shared" si="1"/>
        <v>1092.3291063452771</v>
      </c>
      <c r="E27" s="19">
        <f t="shared" si="3"/>
        <v>169.58660942635115</v>
      </c>
      <c r="F27" s="19">
        <f t="shared" si="5"/>
        <v>18.315353818045921</v>
      </c>
      <c r="G27" s="19">
        <f t="shared" si="4"/>
        <v>49783.653721560062</v>
      </c>
    </row>
    <row r="28" spans="1:11" x14ac:dyDescent="0.2">
      <c r="A28" s="27">
        <v>19</v>
      </c>
      <c r="B28" s="24">
        <f t="shared" si="2"/>
        <v>45717</v>
      </c>
      <c r="C28" s="19">
        <f t="shared" si="0"/>
        <v>1280.231069589674</v>
      </c>
      <c r="D28" s="19">
        <f t="shared" si="1"/>
        <v>1096.3634418447123</v>
      </c>
      <c r="E28" s="19">
        <f t="shared" si="3"/>
        <v>165.94551240520022</v>
      </c>
      <c r="F28" s="19">
        <f t="shared" si="5"/>
        <v>17.922115339761621</v>
      </c>
      <c r="G28" s="19">
        <f t="shared" si="4"/>
        <v>48687.290279715351</v>
      </c>
    </row>
    <row r="29" spans="1:11" x14ac:dyDescent="0.2">
      <c r="A29" s="27">
        <v>20</v>
      </c>
      <c r="B29" s="24">
        <f t="shared" si="2"/>
        <v>45748</v>
      </c>
      <c r="C29" s="19">
        <f t="shared" si="0"/>
        <v>1280.231069589674</v>
      </c>
      <c r="D29" s="19">
        <f t="shared" si="1"/>
        <v>1100.4126774899253</v>
      </c>
      <c r="E29" s="19">
        <f t="shared" si="3"/>
        <v>162.29096759905116</v>
      </c>
      <c r="F29" s="19">
        <f t="shared" si="5"/>
        <v>17.527424500697524</v>
      </c>
      <c r="G29" s="19">
        <f t="shared" si="4"/>
        <v>47586.877602225424</v>
      </c>
    </row>
    <row r="30" spans="1:11" x14ac:dyDescent="0.2">
      <c r="A30" s="27">
        <v>21</v>
      </c>
      <c r="B30" s="24">
        <f t="shared" si="2"/>
        <v>45778</v>
      </c>
      <c r="C30" s="19">
        <f t="shared" si="0"/>
        <v>1280.231069589674</v>
      </c>
      <c r="D30" s="19">
        <f t="shared" si="1"/>
        <v>1104.4768683121215</v>
      </c>
      <c r="E30" s="19">
        <f t="shared" si="3"/>
        <v>158.62292534075144</v>
      </c>
      <c r="F30" s="19">
        <f t="shared" si="5"/>
        <v>17.131275936801153</v>
      </c>
      <c r="G30" s="19">
        <f t="shared" si="4"/>
        <v>46482.400733913302</v>
      </c>
    </row>
    <row r="31" spans="1:11" x14ac:dyDescent="0.2">
      <c r="A31" s="27">
        <v>22</v>
      </c>
      <c r="B31" s="24">
        <f t="shared" si="2"/>
        <v>45809</v>
      </c>
      <c r="C31" s="19">
        <f t="shared" si="0"/>
        <v>1280.231069589674</v>
      </c>
      <c r="D31" s="19">
        <f t="shared" si="1"/>
        <v>1108.5560695457543</v>
      </c>
      <c r="E31" s="19">
        <f t="shared" si="3"/>
        <v>154.94133577971101</v>
      </c>
      <c r="F31" s="19">
        <f t="shared" si="5"/>
        <v>16.733664264208791</v>
      </c>
      <c r="G31" s="19">
        <f t="shared" si="4"/>
        <v>45373.844664367549</v>
      </c>
    </row>
    <row r="32" spans="1:11" x14ac:dyDescent="0.2">
      <c r="A32" s="27">
        <v>23</v>
      </c>
      <c r="B32" s="24">
        <f t="shared" si="2"/>
        <v>45839</v>
      </c>
      <c r="C32" s="19">
        <f t="shared" si="0"/>
        <v>1280.231069589674</v>
      </c>
      <c r="D32" s="19">
        <f t="shared" si="1"/>
        <v>1112.6503366292766</v>
      </c>
      <c r="E32" s="19">
        <f t="shared" si="3"/>
        <v>151.24614888122517</v>
      </c>
      <c r="F32" s="19">
        <f t="shared" si="5"/>
        <v>16.334584079172316</v>
      </c>
      <c r="G32" s="19">
        <f t="shared" si="4"/>
        <v>44261.194327738274</v>
      </c>
    </row>
    <row r="33" spans="1:11" x14ac:dyDescent="0.2">
      <c r="A33" s="27">
        <v>24</v>
      </c>
      <c r="B33" s="24">
        <f t="shared" si="2"/>
        <v>45870</v>
      </c>
      <c r="C33" s="19">
        <f t="shared" si="0"/>
        <v>1280.231069589674</v>
      </c>
      <c r="D33" s="19">
        <f t="shared" si="1"/>
        <v>1116.759725205894</v>
      </c>
      <c r="E33" s="19">
        <f t="shared" si="3"/>
        <v>147.53731442579425</v>
      </c>
      <c r="F33" s="19">
        <f t="shared" si="5"/>
        <v>15.934029957985778</v>
      </c>
      <c r="G33" s="19">
        <f t="shared" si="4"/>
        <v>43144.434602532383</v>
      </c>
      <c r="H33">
        <f>SUM(D22:D33)</f>
        <v>13133.196402978279</v>
      </c>
      <c r="I33">
        <f>SUM(E22:E33)</f>
        <v>2012.2530975611976</v>
      </c>
      <c r="J33">
        <f>SUM(F22:F33)</f>
        <v>217.32333453660937</v>
      </c>
      <c r="K33">
        <f>SUM(I33:J33)</f>
        <v>2229.5764320978069</v>
      </c>
    </row>
    <row r="34" spans="1:11" x14ac:dyDescent="0.2">
      <c r="A34" s="27">
        <v>25</v>
      </c>
      <c r="B34" s="24">
        <f t="shared" si="2"/>
        <v>45901</v>
      </c>
      <c r="C34" s="19">
        <f t="shared" si="0"/>
        <v>1280.231069589674</v>
      </c>
      <c r="D34" s="19">
        <f t="shared" si="1"/>
        <v>1120.884291124321</v>
      </c>
      <c r="E34" s="19">
        <f t="shared" si="3"/>
        <v>143.81478200844128</v>
      </c>
      <c r="F34" s="19">
        <f t="shared" si="5"/>
        <v>15.531996456911656</v>
      </c>
      <c r="G34" s="19">
        <f t="shared" si="4"/>
        <v>42023.550311408064</v>
      </c>
    </row>
    <row r="35" spans="1:11" x14ac:dyDescent="0.2">
      <c r="A35" s="27">
        <v>26</v>
      </c>
      <c r="B35" s="24">
        <f t="shared" si="2"/>
        <v>45931</v>
      </c>
      <c r="C35" s="19">
        <f t="shared" si="0"/>
        <v>1280.231069589674</v>
      </c>
      <c r="D35" s="19">
        <f t="shared" si="1"/>
        <v>1125.0240904395403</v>
      </c>
      <c r="E35" s="19">
        <f t="shared" si="3"/>
        <v>140.0785010380269</v>
      </c>
      <c r="F35" s="19">
        <f t="shared" si="5"/>
        <v>15.128478112106903</v>
      </c>
      <c r="G35" s="19">
        <f t="shared" si="4"/>
        <v>40898.526220968524</v>
      </c>
    </row>
    <row r="36" spans="1:11" x14ac:dyDescent="0.2">
      <c r="A36" s="27">
        <v>27</v>
      </c>
      <c r="B36" s="24">
        <f t="shared" si="2"/>
        <v>45962</v>
      </c>
      <c r="C36" s="19">
        <f t="shared" si="0"/>
        <v>1280.231069589674</v>
      </c>
      <c r="D36" s="19">
        <f t="shared" si="1"/>
        <v>1129.1791794135636</v>
      </c>
      <c r="E36" s="19">
        <f t="shared" si="3"/>
        <v>136.32842073656175</v>
      </c>
      <c r="F36" s="19">
        <f t="shared" si="5"/>
        <v>14.723469439548667</v>
      </c>
      <c r="G36" s="19">
        <f t="shared" si="4"/>
        <v>39769.34704155496</v>
      </c>
    </row>
    <row r="37" spans="1:11" x14ac:dyDescent="0.2">
      <c r="A37" s="27">
        <v>28</v>
      </c>
      <c r="B37" s="24">
        <f t="shared" si="2"/>
        <v>45992</v>
      </c>
      <c r="C37" s="19">
        <f t="shared" si="0"/>
        <v>1280.231069589674</v>
      </c>
      <c r="D37" s="19">
        <f t="shared" si="1"/>
        <v>1133.3496145161978</v>
      </c>
      <c r="E37" s="19">
        <f t="shared" si="3"/>
        <v>132.56449013851653</v>
      </c>
      <c r="F37" s="19">
        <f t="shared" si="5"/>
        <v>14.316964934959787</v>
      </c>
      <c r="G37" s="19">
        <f t="shared" si="4"/>
        <v>38635.997427038761</v>
      </c>
    </row>
    <row r="38" spans="1:11" x14ac:dyDescent="0.2">
      <c r="A38" s="27">
        <v>29</v>
      </c>
      <c r="B38" s="24">
        <f t="shared" si="2"/>
        <v>46023</v>
      </c>
      <c r="C38" s="19">
        <f t="shared" si="0"/>
        <v>1280.231069589674</v>
      </c>
      <c r="D38" s="19">
        <f t="shared" si="1"/>
        <v>1137.5354524258109</v>
      </c>
      <c r="E38" s="19">
        <f t="shared" si="3"/>
        <v>128.78665809012921</v>
      </c>
      <c r="F38" s="19">
        <f t="shared" si="5"/>
        <v>13.908959073733953</v>
      </c>
      <c r="G38" s="19">
        <f t="shared" si="4"/>
        <v>37498.461974612947</v>
      </c>
    </row>
    <row r="39" spans="1:11" x14ac:dyDescent="0.2">
      <c r="A39" s="27">
        <v>30</v>
      </c>
      <c r="B39" s="24">
        <f t="shared" si="2"/>
        <v>46054</v>
      </c>
      <c r="C39" s="19">
        <f t="shared" si="0"/>
        <v>1280.231069589674</v>
      </c>
      <c r="D39" s="19">
        <f t="shared" si="1"/>
        <v>1141.7367500301036</v>
      </c>
      <c r="E39" s="19">
        <f t="shared" si="3"/>
        <v>124.99487324870982</v>
      </c>
      <c r="F39" s="19">
        <f t="shared" si="5"/>
        <v>13.499446310860659</v>
      </c>
      <c r="G39" s="19">
        <f t="shared" si="4"/>
        <v>36356.725224582842</v>
      </c>
    </row>
    <row r="40" spans="1:11" x14ac:dyDescent="0.2">
      <c r="A40" s="27">
        <v>31</v>
      </c>
      <c r="B40" s="24">
        <f t="shared" si="2"/>
        <v>46082</v>
      </c>
      <c r="C40" s="19">
        <f t="shared" si="0"/>
        <v>1280.231069589674</v>
      </c>
      <c r="D40" s="19">
        <f t="shared" si="1"/>
        <v>1145.9535644268813</v>
      </c>
      <c r="E40" s="19">
        <f t="shared" si="3"/>
        <v>121.18908408194281</v>
      </c>
      <c r="F40" s="19">
        <f t="shared" si="5"/>
        <v>13.088421080849823</v>
      </c>
      <c r="G40" s="19">
        <f t="shared" si="4"/>
        <v>35210.771660155959</v>
      </c>
    </row>
    <row r="41" spans="1:11" x14ac:dyDescent="0.2">
      <c r="A41" s="27">
        <v>32</v>
      </c>
      <c r="B41" s="24">
        <f t="shared" si="2"/>
        <v>46113</v>
      </c>
      <c r="C41" s="19">
        <f t="shared" si="0"/>
        <v>1280.231069589674</v>
      </c>
      <c r="D41" s="19">
        <f t="shared" si="1"/>
        <v>1150.1859529248313</v>
      </c>
      <c r="E41" s="19">
        <f t="shared" si="3"/>
        <v>117.36923886718654</v>
      </c>
      <c r="F41" s="19">
        <f t="shared" si="5"/>
        <v>12.675877797656145</v>
      </c>
      <c r="G41" s="19">
        <f t="shared" si="4"/>
        <v>34060.585707231126</v>
      </c>
    </row>
    <row r="42" spans="1:11" x14ac:dyDescent="0.2">
      <c r="A42" s="27">
        <v>33</v>
      </c>
      <c r="B42" s="24">
        <f t="shared" si="2"/>
        <v>46143</v>
      </c>
      <c r="C42" s="19">
        <f t="shared" si="0"/>
        <v>1280.231069589674</v>
      </c>
      <c r="D42" s="19">
        <f t="shared" si="1"/>
        <v>1154.4339730443003</v>
      </c>
      <c r="E42" s="19">
        <f t="shared" si="3"/>
        <v>113.53528569077042</v>
      </c>
      <c r="F42" s="19">
        <f t="shared" si="5"/>
        <v>12.261810854603205</v>
      </c>
      <c r="G42" s="19">
        <f t="shared" si="4"/>
        <v>32906.151734186824</v>
      </c>
    </row>
    <row r="43" spans="1:11" x14ac:dyDescent="0.2">
      <c r="A43" s="27">
        <v>34</v>
      </c>
      <c r="B43" s="24">
        <f t="shared" si="2"/>
        <v>46174</v>
      </c>
      <c r="C43" s="19">
        <f t="shared" si="0"/>
        <v>1280.231069589674</v>
      </c>
      <c r="D43" s="19">
        <f t="shared" si="1"/>
        <v>1158.6976825180773</v>
      </c>
      <c r="E43" s="19">
        <f t="shared" si="3"/>
        <v>109.68717244728941</v>
      </c>
      <c r="F43" s="19">
        <f t="shared" si="5"/>
        <v>11.846214624307256</v>
      </c>
      <c r="G43" s="19">
        <f t="shared" si="4"/>
        <v>31747.454051668748</v>
      </c>
    </row>
    <row r="44" spans="1:11" x14ac:dyDescent="0.2">
      <c r="A44" s="27">
        <v>35</v>
      </c>
      <c r="B44" s="24">
        <f t="shared" si="2"/>
        <v>46204</v>
      </c>
      <c r="C44" s="19">
        <f t="shared" si="0"/>
        <v>1280.231069589674</v>
      </c>
      <c r="D44" s="19">
        <f t="shared" si="1"/>
        <v>1162.9771392921775</v>
      </c>
      <c r="E44" s="19">
        <f t="shared" si="3"/>
        <v>105.82484683889584</v>
      </c>
      <c r="F44" s="19">
        <f t="shared" si="5"/>
        <v>11.429083458600749</v>
      </c>
      <c r="G44" s="19">
        <f t="shared" si="4"/>
        <v>30584.476912376573</v>
      </c>
    </row>
    <row r="45" spans="1:11" x14ac:dyDescent="0.2">
      <c r="A45" s="27">
        <v>36</v>
      </c>
      <c r="B45" s="24">
        <f t="shared" si="2"/>
        <v>46235</v>
      </c>
      <c r="C45" s="19">
        <f t="shared" si="0"/>
        <v>1280.231069589674</v>
      </c>
      <c r="D45" s="19">
        <f t="shared" si="1"/>
        <v>1167.2724015266299</v>
      </c>
      <c r="E45" s="19">
        <f t="shared" si="3"/>
        <v>101.94825637458858</v>
      </c>
      <c r="F45" s="19">
        <f t="shared" si="5"/>
        <v>11.010411688455566</v>
      </c>
      <c r="G45" s="19">
        <f t="shared" si="4"/>
        <v>29417.204510849944</v>
      </c>
      <c r="H45">
        <f>SUM(D34:D45)</f>
        <v>13727.230091682435</v>
      </c>
      <c r="I45">
        <f>SUM(E34:E45)</f>
        <v>1476.1216095610591</v>
      </c>
      <c r="J45">
        <f>SUM(F34:F45)</f>
        <v>159.42113383259439</v>
      </c>
      <c r="K45">
        <f>SUM(I45:J45)</f>
        <v>1635.5427433936536</v>
      </c>
    </row>
    <row r="46" spans="1:11" x14ac:dyDescent="0.2">
      <c r="A46" s="27">
        <v>37</v>
      </c>
      <c r="B46" s="24">
        <f t="shared" si="2"/>
        <v>46266</v>
      </c>
      <c r="C46" s="19">
        <f t="shared" si="0"/>
        <v>1280.231069589674</v>
      </c>
      <c r="D46" s="19">
        <f t="shared" si="1"/>
        <v>1171.5835275962681</v>
      </c>
      <c r="E46" s="19">
        <f t="shared" si="3"/>
        <v>98.057348369499834</v>
      </c>
      <c r="F46" s="19">
        <f t="shared" si="5"/>
        <v>10.59019362390598</v>
      </c>
      <c r="G46" s="19">
        <f t="shared" si="4"/>
        <v>28245.620983253677</v>
      </c>
    </row>
    <row r="47" spans="1:11" x14ac:dyDescent="0.2">
      <c r="A47" s="27">
        <v>38</v>
      </c>
      <c r="B47" s="24">
        <f t="shared" si="2"/>
        <v>46296</v>
      </c>
      <c r="C47" s="19">
        <f t="shared" si="0"/>
        <v>1280.231069589674</v>
      </c>
      <c r="D47" s="19">
        <f t="shared" si="1"/>
        <v>1175.9105760915238</v>
      </c>
      <c r="E47" s="19">
        <f t="shared" si="3"/>
        <v>94.152069944178947</v>
      </c>
      <c r="F47" s="19">
        <f t="shared" si="5"/>
        <v>10.168423553971323</v>
      </c>
      <c r="G47" s="19">
        <f t="shared" si="4"/>
        <v>27069.710407162154</v>
      </c>
    </row>
    <row r="48" spans="1:11" x14ac:dyDescent="0.2">
      <c r="A48" s="27">
        <v>39</v>
      </c>
      <c r="B48" s="24">
        <f t="shared" si="2"/>
        <v>46327</v>
      </c>
      <c r="C48" s="19">
        <f t="shared" si="0"/>
        <v>1280.231069589674</v>
      </c>
      <c r="D48" s="19">
        <f t="shared" si="1"/>
        <v>1180.2536058192218</v>
      </c>
      <c r="E48" s="19">
        <f t="shared" si="3"/>
        <v>90.23236802387386</v>
      </c>
      <c r="F48" s="19">
        <f t="shared" si="5"/>
        <v>9.7450957465783752</v>
      </c>
      <c r="G48" s="19">
        <f t="shared" si="4"/>
        <v>25889.456801342931</v>
      </c>
    </row>
    <row r="49" spans="1:11" x14ac:dyDescent="0.2">
      <c r="A49" s="27">
        <v>40</v>
      </c>
      <c r="B49" s="24">
        <f t="shared" si="2"/>
        <v>46357</v>
      </c>
      <c r="C49" s="19">
        <f t="shared" si="0"/>
        <v>1280.231069589674</v>
      </c>
      <c r="D49" s="19">
        <f t="shared" si="1"/>
        <v>1184.6126758033806</v>
      </c>
      <c r="E49" s="19">
        <f t="shared" si="3"/>
        <v>86.298189337809774</v>
      </c>
      <c r="F49" s="19">
        <f t="shared" si="5"/>
        <v>9.3202044484834552</v>
      </c>
      <c r="G49" s="19">
        <f t="shared" si="4"/>
        <v>24704.844125539552</v>
      </c>
    </row>
    <row r="50" spans="1:11" x14ac:dyDescent="0.2">
      <c r="A50" s="27">
        <v>41</v>
      </c>
      <c r="B50" s="24">
        <f t="shared" si="2"/>
        <v>46388</v>
      </c>
      <c r="C50" s="19">
        <f t="shared" si="0"/>
        <v>1280.231069589674</v>
      </c>
      <c r="D50" s="19">
        <f t="shared" si="1"/>
        <v>1188.9878452860146</v>
      </c>
      <c r="E50" s="19">
        <f t="shared" si="3"/>
        <v>82.349480418465191</v>
      </c>
      <c r="F50" s="19">
        <f t="shared" si="5"/>
        <v>8.8937438851942385</v>
      </c>
      <c r="G50" s="19">
        <f t="shared" si="4"/>
        <v>23515.856280253538</v>
      </c>
    </row>
    <row r="51" spans="1:11" x14ac:dyDescent="0.2">
      <c r="A51" s="27">
        <v>42</v>
      </c>
      <c r="B51" s="24">
        <f t="shared" si="2"/>
        <v>46419</v>
      </c>
      <c r="C51" s="19">
        <f t="shared" si="0"/>
        <v>1280.231069589674</v>
      </c>
      <c r="D51" s="19">
        <f t="shared" si="1"/>
        <v>1193.3791737279375</v>
      </c>
      <c r="E51" s="19">
        <f t="shared" si="3"/>
        <v>78.386187600845133</v>
      </c>
      <c r="F51" s="19">
        <f t="shared" si="5"/>
        <v>8.4657082608912742</v>
      </c>
      <c r="G51" s="19">
        <f t="shared" si="4"/>
        <v>22322.477106525599</v>
      </c>
    </row>
    <row r="52" spans="1:11" x14ac:dyDescent="0.2">
      <c r="A52" s="27">
        <v>43</v>
      </c>
      <c r="B52" s="24">
        <f t="shared" si="2"/>
        <v>46447</v>
      </c>
      <c r="C52" s="19">
        <f t="shared" si="0"/>
        <v>1280.231069589674</v>
      </c>
      <c r="D52" s="19">
        <f t="shared" si="1"/>
        <v>1197.7867208095729</v>
      </c>
      <c r="E52" s="19">
        <f t="shared" si="3"/>
        <v>74.408257021752007</v>
      </c>
      <c r="F52" s="19">
        <f t="shared" si="5"/>
        <v>8.0360917583492153</v>
      </c>
      <c r="G52" s="19">
        <f t="shared" si="4"/>
        <v>21124.690385716025</v>
      </c>
    </row>
    <row r="53" spans="1:11" x14ac:dyDescent="0.2">
      <c r="A53" s="27">
        <v>44</v>
      </c>
      <c r="B53" s="24">
        <f t="shared" si="2"/>
        <v>46478</v>
      </c>
      <c r="C53" s="19">
        <f t="shared" si="0"/>
        <v>1280.231069589674</v>
      </c>
      <c r="D53" s="19">
        <f t="shared" si="1"/>
        <v>1202.2105464317629</v>
      </c>
      <c r="E53" s="19">
        <f t="shared" si="3"/>
        <v>70.415634619053421</v>
      </c>
      <c r="F53" s="19">
        <f t="shared" si="5"/>
        <v>7.6048885388577689</v>
      </c>
      <c r="G53" s="19">
        <f t="shared" si="4"/>
        <v>19922.479839284264</v>
      </c>
    </row>
    <row r="54" spans="1:11" x14ac:dyDescent="0.2">
      <c r="A54" s="27">
        <v>45</v>
      </c>
      <c r="B54" s="24">
        <f t="shared" si="2"/>
        <v>46508</v>
      </c>
      <c r="C54" s="19">
        <f t="shared" si="0"/>
        <v>1280.231069589674</v>
      </c>
      <c r="D54" s="19">
        <f t="shared" si="1"/>
        <v>1206.6507107165842</v>
      </c>
      <c r="E54" s="19">
        <f t="shared" si="3"/>
        <v>66.408266130947553</v>
      </c>
      <c r="F54" s="19">
        <f t="shared" si="5"/>
        <v>7.1720927421423344</v>
      </c>
      <c r="G54" s="19">
        <f t="shared" si="4"/>
        <v>18715.829128567679</v>
      </c>
    </row>
    <row r="55" spans="1:11" x14ac:dyDescent="0.2">
      <c r="A55" s="27">
        <v>46</v>
      </c>
      <c r="B55" s="24">
        <f t="shared" si="2"/>
        <v>46539</v>
      </c>
      <c r="C55" s="19">
        <f t="shared" si="0"/>
        <v>1280.231069589674</v>
      </c>
      <c r="D55" s="19">
        <f t="shared" si="1"/>
        <v>1211.107274008164</v>
      </c>
      <c r="E55" s="19">
        <f t="shared" si="3"/>
        <v>62.386097095225601</v>
      </c>
      <c r="F55" s="19">
        <f t="shared" si="5"/>
        <v>6.7376984862843639</v>
      </c>
      <c r="G55" s="19">
        <f t="shared" si="4"/>
        <v>17504.721854559513</v>
      </c>
    </row>
    <row r="56" spans="1:11" x14ac:dyDescent="0.2">
      <c r="A56" s="27">
        <v>47</v>
      </c>
      <c r="B56" s="24">
        <f t="shared" si="2"/>
        <v>46569</v>
      </c>
      <c r="C56" s="19">
        <f t="shared" si="0"/>
        <v>1280.231069589674</v>
      </c>
      <c r="D56" s="19">
        <f t="shared" si="1"/>
        <v>1215.5802968735009</v>
      </c>
      <c r="E56" s="19">
        <f t="shared" si="3"/>
        <v>58.349072848531712</v>
      </c>
      <c r="F56" s="19">
        <f t="shared" si="5"/>
        <v>6.3016998676414238</v>
      </c>
      <c r="G56" s="19">
        <f t="shared" si="4"/>
        <v>16289.141557686013</v>
      </c>
    </row>
    <row r="57" spans="1:11" x14ac:dyDescent="0.2">
      <c r="A57" s="27">
        <v>48</v>
      </c>
      <c r="B57" s="24">
        <f t="shared" si="2"/>
        <v>46600</v>
      </c>
      <c r="C57" s="19">
        <f t="shared" si="0"/>
        <v>1280.231069589674</v>
      </c>
      <c r="D57" s="19">
        <f t="shared" si="1"/>
        <v>1220.0698401032869</v>
      </c>
      <c r="E57" s="19">
        <f t="shared" si="3"/>
        <v>54.297138525620049</v>
      </c>
      <c r="F57" s="19">
        <f t="shared" si="5"/>
        <v>5.8640909607669647</v>
      </c>
      <c r="G57" s="19">
        <f t="shared" si="4"/>
        <v>15069.071717582727</v>
      </c>
      <c r="H57">
        <f>SUM(D46:D57)</f>
        <v>14348.132793267217</v>
      </c>
      <c r="I57">
        <f>SUM(E46:E57)</f>
        <v>915.74010993580316</v>
      </c>
      <c r="J57">
        <f>SUM(F46:F57)</f>
        <v>98.899931873066706</v>
      </c>
      <c r="K57">
        <f>SUM(I57:J57)</f>
        <v>1014.6400418088699</v>
      </c>
    </row>
    <row r="58" spans="1:11" x14ac:dyDescent="0.2">
      <c r="A58" s="27">
        <v>49</v>
      </c>
      <c r="B58" s="24">
        <f t="shared" si="2"/>
        <v>46631</v>
      </c>
      <c r="C58" s="19">
        <f t="shared" si="0"/>
        <v>1280.231069589674</v>
      </c>
      <c r="D58" s="19">
        <f t="shared" si="1"/>
        <v>1224.575964712735</v>
      </c>
      <c r="E58" s="19">
        <f t="shared" si="3"/>
        <v>50.230239058609101</v>
      </c>
      <c r="F58" s="19">
        <f t="shared" si="5"/>
        <v>5.4248658183297813</v>
      </c>
      <c r="G58" s="19">
        <f t="shared" si="4"/>
        <v>13844.495752869992</v>
      </c>
    </row>
    <row r="59" spans="1:11" x14ac:dyDescent="0.2">
      <c r="A59" s="27">
        <v>50</v>
      </c>
      <c r="B59" s="24">
        <f t="shared" si="2"/>
        <v>46661</v>
      </c>
      <c r="C59" s="19">
        <f t="shared" si="0"/>
        <v>1280.231069589674</v>
      </c>
      <c r="D59" s="19">
        <f t="shared" si="1"/>
        <v>1229.0987319424075</v>
      </c>
      <c r="E59" s="19">
        <f t="shared" si="3"/>
        <v>46.148319176233308</v>
      </c>
      <c r="F59" s="19">
        <f t="shared" si="5"/>
        <v>4.9840184710331972</v>
      </c>
      <c r="G59" s="19">
        <f t="shared" si="4"/>
        <v>12615.397020927585</v>
      </c>
    </row>
    <row r="60" spans="1:11" x14ac:dyDescent="0.2">
      <c r="A60" s="27">
        <v>51</v>
      </c>
      <c r="B60" s="24">
        <f t="shared" si="2"/>
        <v>46692</v>
      </c>
      <c r="C60" s="19">
        <f t="shared" si="0"/>
        <v>1280.231069589674</v>
      </c>
      <c r="D60" s="19">
        <f t="shared" si="1"/>
        <v>1233.6382032590479</v>
      </c>
      <c r="E60" s="19">
        <f t="shared" si="3"/>
        <v>42.051323403091949</v>
      </c>
      <c r="F60" s="19">
        <f t="shared" si="5"/>
        <v>4.5415429275339303</v>
      </c>
      <c r="G60" s="19">
        <f t="shared" si="4"/>
        <v>11381.758817668537</v>
      </c>
    </row>
    <row r="61" spans="1:11" x14ac:dyDescent="0.2">
      <c r="A61" s="27">
        <v>52</v>
      </c>
      <c r="B61" s="24">
        <f t="shared" si="2"/>
        <v>46722</v>
      </c>
      <c r="C61" s="19">
        <f t="shared" si="0"/>
        <v>1280.231069589674</v>
      </c>
      <c r="D61" s="19">
        <f t="shared" si="1"/>
        <v>1238.1944403564182</v>
      </c>
      <c r="E61" s="19">
        <f t="shared" si="3"/>
        <v>37.939196058895128</v>
      </c>
      <c r="F61" s="19">
        <f t="shared" si="5"/>
        <v>4.0974331743606722</v>
      </c>
      <c r="G61" s="19">
        <f t="shared" si="4"/>
        <v>10143.564377312119</v>
      </c>
    </row>
    <row r="62" spans="1:11" x14ac:dyDescent="0.2">
      <c r="A62" s="27">
        <v>53</v>
      </c>
      <c r="B62" s="24">
        <f t="shared" si="2"/>
        <v>46753</v>
      </c>
      <c r="C62" s="19">
        <f t="shared" si="0"/>
        <v>1280.231069589674</v>
      </c>
      <c r="D62" s="19">
        <f t="shared" si="1"/>
        <v>1242.7675051561346</v>
      </c>
      <c r="E62" s="19">
        <f t="shared" si="3"/>
        <v>33.811881257707064</v>
      </c>
      <c r="F62" s="19">
        <f t="shared" si="5"/>
        <v>3.6516831758323627</v>
      </c>
      <c r="G62" s="19">
        <f t="shared" si="4"/>
        <v>8900.7968721559846</v>
      </c>
    </row>
    <row r="63" spans="1:11" x14ac:dyDescent="0.2">
      <c r="A63" s="27">
        <v>54</v>
      </c>
      <c r="B63" s="24">
        <f t="shared" si="2"/>
        <v>46784</v>
      </c>
      <c r="C63" s="19">
        <f t="shared" si="0"/>
        <v>1280.231069589674</v>
      </c>
      <c r="D63" s="19">
        <f t="shared" si="1"/>
        <v>1247.3574598085113</v>
      </c>
      <c r="E63" s="19">
        <f t="shared" si="3"/>
        <v>29.669322907186618</v>
      </c>
      <c r="F63" s="19">
        <f t="shared" si="5"/>
        <v>3.2042868739761543</v>
      </c>
      <c r="G63" s="19">
        <f t="shared" si="4"/>
        <v>7653.4394123474731</v>
      </c>
    </row>
    <row r="64" spans="1:11" x14ac:dyDescent="0.2">
      <c r="A64" s="27">
        <v>55</v>
      </c>
      <c r="B64" s="24">
        <f t="shared" si="2"/>
        <v>46813</v>
      </c>
      <c r="C64" s="19">
        <f t="shared" si="0"/>
        <v>1280.231069589674</v>
      </c>
      <c r="D64" s="19">
        <f t="shared" si="1"/>
        <v>1251.9643666934041</v>
      </c>
      <c r="E64" s="19">
        <f t="shared" si="3"/>
        <v>25.511464707824913</v>
      </c>
      <c r="F64" s="19">
        <f t="shared" si="5"/>
        <v>2.7552381884450901</v>
      </c>
      <c r="G64" s="19">
        <f t="shared" si="4"/>
        <v>6401.4750456540687</v>
      </c>
    </row>
    <row r="65" spans="1:11" x14ac:dyDescent="0.2">
      <c r="A65" s="27">
        <v>56</v>
      </c>
      <c r="B65" s="24">
        <f t="shared" si="2"/>
        <v>46844</v>
      </c>
      <c r="C65" s="19">
        <f t="shared" si="0"/>
        <v>1280.231069589674</v>
      </c>
      <c r="D65" s="19">
        <f t="shared" si="1"/>
        <v>1256.5882884210582</v>
      </c>
      <c r="E65" s="19">
        <f t="shared" si="3"/>
        <v>21.33825015218023</v>
      </c>
      <c r="F65" s="19">
        <f t="shared" si="5"/>
        <v>2.3045310164354644</v>
      </c>
      <c r="G65" s="19">
        <f t="shared" si="4"/>
        <v>5144.8867572330109</v>
      </c>
    </row>
    <row r="66" spans="1:11" x14ac:dyDescent="0.2">
      <c r="A66" s="27">
        <v>57</v>
      </c>
      <c r="B66" s="24">
        <f t="shared" si="2"/>
        <v>46874</v>
      </c>
      <c r="C66" s="19">
        <f t="shared" si="0"/>
        <v>1280.231069589674</v>
      </c>
      <c r="D66" s="19">
        <f t="shared" si="1"/>
        <v>1261.2292878329599</v>
      </c>
      <c r="E66" s="19">
        <f t="shared" si="3"/>
        <v>17.149622524110036</v>
      </c>
      <c r="F66" s="19">
        <f t="shared" si="5"/>
        <v>1.8521592326038838</v>
      </c>
      <c r="G66" s="19">
        <f t="shared" si="4"/>
        <v>3883.657469400051</v>
      </c>
    </row>
    <row r="67" spans="1:11" x14ac:dyDescent="0.2">
      <c r="A67" s="27">
        <v>58</v>
      </c>
      <c r="B67" s="24">
        <f t="shared" si="2"/>
        <v>46905</v>
      </c>
      <c r="C67" s="19">
        <f t="shared" si="0"/>
        <v>1280.231069589674</v>
      </c>
      <c r="D67" s="19">
        <f t="shared" si="1"/>
        <v>1265.8874280026898</v>
      </c>
      <c r="E67" s="19">
        <f t="shared" si="3"/>
        <v>12.945524898000171</v>
      </c>
      <c r="F67" s="19">
        <f t="shared" si="5"/>
        <v>1.3981166889840184</v>
      </c>
      <c r="G67" s="19">
        <f t="shared" si="4"/>
        <v>2617.7700413973612</v>
      </c>
    </row>
    <row r="68" spans="1:11" x14ac:dyDescent="0.2">
      <c r="A68" s="27">
        <v>59</v>
      </c>
      <c r="B68" s="24">
        <f t="shared" si="2"/>
        <v>46935</v>
      </c>
      <c r="C68" s="19">
        <f t="shared" si="0"/>
        <v>1280.231069589674</v>
      </c>
      <c r="D68" s="19">
        <f t="shared" si="1"/>
        <v>1270.5627722367799</v>
      </c>
      <c r="E68" s="19">
        <f t="shared" si="3"/>
        <v>8.7259001379912053</v>
      </c>
      <c r="F68" s="19">
        <f t="shared" si="5"/>
        <v>0.94239721490304995</v>
      </c>
      <c r="G68" s="19">
        <f t="shared" si="4"/>
        <v>1347.2072691605813</v>
      </c>
    </row>
    <row r="69" spans="1:11" ht="13.5" thickBot="1" x14ac:dyDescent="0.25">
      <c r="A69" s="27">
        <v>60</v>
      </c>
      <c r="B69" s="24">
        <f t="shared" si="2"/>
        <v>46966</v>
      </c>
      <c r="C69" s="19">
        <f t="shared" si="0"/>
        <v>1280.231069589674</v>
      </c>
      <c r="D69" s="19">
        <f t="shared" si="1"/>
        <v>1275.2553840755743</v>
      </c>
      <c r="E69" s="19">
        <f t="shared" si="3"/>
        <v>4.4906908972019375</v>
      </c>
      <c r="F69" s="19">
        <f t="shared" si="5"/>
        <v>0.48499461689780926</v>
      </c>
      <c r="G69" s="19">
        <f t="shared" si="4"/>
        <v>71.951885085007007</v>
      </c>
      <c r="H69">
        <f>SUM(D58:D69)</f>
        <v>14997.119832497721</v>
      </c>
      <c r="I69">
        <f>SUM(E58:E69)</f>
        <v>330.01173517903169</v>
      </c>
      <c r="J69">
        <f>SUM(F58:F69)</f>
        <v>35.641267399335419</v>
      </c>
      <c r="K69">
        <f>SUM(I69:J69)</f>
        <v>365.65300257836714</v>
      </c>
    </row>
    <row r="70" spans="1:11" ht="13.5" thickBot="1" x14ac:dyDescent="0.25">
      <c r="A70" s="131" t="s">
        <v>60</v>
      </c>
      <c r="B70" s="132"/>
      <c r="C70" s="82">
        <f>F70+E70+D70</f>
        <v>72.217627380587629</v>
      </c>
      <c r="D70" s="83">
        <f>G69</f>
        <v>71.951885085007007</v>
      </c>
      <c r="E70" s="29">
        <f t="shared" si="3"/>
        <v>0.23983961695002337</v>
      </c>
      <c r="F70" s="19">
        <f t="shared" si="5"/>
        <v>2.5902678630602523E-2</v>
      </c>
      <c r="G70" s="29">
        <f t="shared" si="4"/>
        <v>0</v>
      </c>
    </row>
  </sheetData>
  <mergeCells count="5">
    <mergeCell ref="A1:E1"/>
    <mergeCell ref="A70:B70"/>
    <mergeCell ref="A7:B7"/>
    <mergeCell ref="A3:B3"/>
    <mergeCell ref="A4:B4"/>
  </mergeCells>
  <phoneticPr fontId="0" type="noConversion"/>
  <pageMargins left="0.75" right="0.75" top="1" bottom="1" header="0.5" footer="0.5"/>
  <pageSetup scale="87" orientation="portrait" horizontalDpi="300" verticalDpi="300" r:id="rId1"/>
  <headerFooter alignWithMargins="0">
    <oddFooter xml:space="preserve">&amp;Lprepared with assistance, Aboriginal Business Development Centre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K23" sqref="K22:K23"/>
    </sheetView>
  </sheetViews>
  <sheetFormatPr defaultRowHeight="12.75" x14ac:dyDescent="0.2"/>
  <cols>
    <col min="1" max="1" width="4" bestFit="1" customWidth="1"/>
    <col min="2" max="2" width="4.7109375" bestFit="1" customWidth="1"/>
  </cols>
  <sheetData>
    <row r="1" spans="1:2" x14ac:dyDescent="0.2">
      <c r="A1">
        <v>1</v>
      </c>
      <c r="B1" t="s">
        <v>21</v>
      </c>
    </row>
    <row r="2" spans="1:2" x14ac:dyDescent="0.2">
      <c r="A2">
        <v>2</v>
      </c>
      <c r="B2" t="s">
        <v>22</v>
      </c>
    </row>
    <row r="3" spans="1:2" x14ac:dyDescent="0.2">
      <c r="A3">
        <v>3</v>
      </c>
      <c r="B3" t="s">
        <v>23</v>
      </c>
    </row>
    <row r="4" spans="1:2" x14ac:dyDescent="0.2">
      <c r="A4">
        <v>4</v>
      </c>
      <c r="B4" t="s">
        <v>24</v>
      </c>
    </row>
    <row r="5" spans="1:2" x14ac:dyDescent="0.2">
      <c r="A5">
        <v>5</v>
      </c>
      <c r="B5" t="s">
        <v>25</v>
      </c>
    </row>
    <row r="6" spans="1:2" x14ac:dyDescent="0.2">
      <c r="A6">
        <v>6</v>
      </c>
      <c r="B6" t="s">
        <v>26</v>
      </c>
    </row>
    <row r="7" spans="1:2" x14ac:dyDescent="0.2">
      <c r="A7">
        <v>7</v>
      </c>
      <c r="B7" t="s">
        <v>27</v>
      </c>
    </row>
    <row r="8" spans="1:2" x14ac:dyDescent="0.2">
      <c r="A8">
        <v>8</v>
      </c>
      <c r="B8" t="s">
        <v>28</v>
      </c>
    </row>
    <row r="9" spans="1:2" x14ac:dyDescent="0.2">
      <c r="A9">
        <v>9</v>
      </c>
      <c r="B9" t="s">
        <v>29</v>
      </c>
    </row>
    <row r="10" spans="1:2" x14ac:dyDescent="0.2">
      <c r="A10">
        <v>10</v>
      </c>
      <c r="B10" t="s">
        <v>30</v>
      </c>
    </row>
    <row r="11" spans="1:2" x14ac:dyDescent="0.2">
      <c r="A11">
        <v>11</v>
      </c>
      <c r="B11" t="s">
        <v>31</v>
      </c>
    </row>
    <row r="12" spans="1:2" x14ac:dyDescent="0.2">
      <c r="A12">
        <v>12</v>
      </c>
      <c r="B12" t="s">
        <v>32</v>
      </c>
    </row>
    <row r="13" spans="1:2" x14ac:dyDescent="0.2">
      <c r="A13">
        <v>13</v>
      </c>
      <c r="B13" t="s">
        <v>21</v>
      </c>
    </row>
    <row r="14" spans="1:2" x14ac:dyDescent="0.2">
      <c r="A14">
        <v>14</v>
      </c>
      <c r="B14" t="s">
        <v>22</v>
      </c>
    </row>
    <row r="15" spans="1:2" x14ac:dyDescent="0.2">
      <c r="A15">
        <v>15</v>
      </c>
      <c r="B15" t="s">
        <v>23</v>
      </c>
    </row>
    <row r="16" spans="1:2" x14ac:dyDescent="0.2">
      <c r="A16">
        <v>16</v>
      </c>
      <c r="B16" t="s">
        <v>24</v>
      </c>
    </row>
    <row r="17" spans="1:2" x14ac:dyDescent="0.2">
      <c r="A17">
        <v>17</v>
      </c>
      <c r="B17" t="s">
        <v>25</v>
      </c>
    </row>
    <row r="18" spans="1:2" x14ac:dyDescent="0.2">
      <c r="A18">
        <v>18</v>
      </c>
      <c r="B18" t="s">
        <v>26</v>
      </c>
    </row>
    <row r="19" spans="1:2" x14ac:dyDescent="0.2">
      <c r="A19">
        <v>19</v>
      </c>
      <c r="B19" t="s">
        <v>27</v>
      </c>
    </row>
    <row r="20" spans="1:2" x14ac:dyDescent="0.2">
      <c r="A20">
        <v>20</v>
      </c>
      <c r="B20" t="s">
        <v>28</v>
      </c>
    </row>
    <row r="21" spans="1:2" x14ac:dyDescent="0.2">
      <c r="A21">
        <v>21</v>
      </c>
      <c r="B21" t="s">
        <v>29</v>
      </c>
    </row>
    <row r="22" spans="1:2" x14ac:dyDescent="0.2">
      <c r="A22">
        <v>22</v>
      </c>
      <c r="B22" t="s">
        <v>30</v>
      </c>
    </row>
    <row r="23" spans="1:2" x14ac:dyDescent="0.2">
      <c r="A23">
        <v>23</v>
      </c>
      <c r="B23" t="s">
        <v>31</v>
      </c>
    </row>
    <row r="24" spans="1:2" x14ac:dyDescent="0.2">
      <c r="A24">
        <v>24</v>
      </c>
      <c r="B24" t="s">
        <v>32</v>
      </c>
    </row>
  </sheetData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Sales Forecast</vt:lpstr>
      <vt:lpstr>cashflow</vt:lpstr>
      <vt:lpstr>Use &amp; Source</vt:lpstr>
      <vt:lpstr>Advertising</vt:lpstr>
      <vt:lpstr>Owner's Drawings</vt:lpstr>
      <vt:lpstr>Loan Pymt Calc1</vt:lpstr>
      <vt:lpstr>Amor Schl 1</vt:lpstr>
      <vt:lpstr>Months</vt:lpstr>
      <vt:lpstr>Months</vt:lpstr>
      <vt:lpstr>'Amor Schl 1'!Print_Area</vt:lpstr>
      <vt:lpstr>cashflow!Print_Area</vt:lpstr>
      <vt:lpstr>'Loan Pymt Calc1'!Print_Area</vt:lpstr>
      <vt:lpstr>'Owner''s Drawings'!Print_Area</vt:lpstr>
      <vt:lpstr>'Sales Forecast'!Print_Area</vt:lpstr>
      <vt:lpstr>'Use &amp; 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Cashflow forecast</dc:title>
  <dc:subject>Cashflow</dc:subject>
  <dc:creator>Executive</dc:creator>
  <cp:lastModifiedBy>Executive</cp:lastModifiedBy>
  <cp:lastPrinted>2009-07-16T22:36:58Z</cp:lastPrinted>
  <dcterms:created xsi:type="dcterms:W3CDTF">1998-02-10T22:02:09Z</dcterms:created>
  <dcterms:modified xsi:type="dcterms:W3CDTF">2023-05-01T20:58:08Z</dcterms:modified>
</cp:coreProperties>
</file>